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DF98" lockStructure="1"/>
  <bookViews>
    <workbookView xWindow="480" yWindow="60" windowWidth="27795" windowHeight="13875"/>
  </bookViews>
  <sheets>
    <sheet name="Расчет" sheetId="1" r:id="rId1"/>
    <sheet name="Данные" sheetId="3" state="hidden" r:id="rId2"/>
    <sheet name="Справочная информация" sheetId="2" state="hidden" r:id="rId3"/>
  </sheets>
  <definedNames>
    <definedName name="dI">Расчет!$D$67</definedName>
    <definedName name="Dn">Данные!$D$123</definedName>
    <definedName name="Ii">Расчет!$D$95</definedName>
    <definedName name="Nam">Расчет!$D$88</definedName>
    <definedName name="Nas">Расчет!$D$86</definedName>
    <definedName name="Nax">Данные!$D$119</definedName>
    <definedName name="Ni">Расчет!$D$90</definedName>
    <definedName name="Nir">Данные!$D$121</definedName>
    <definedName name="Nix">Данные!$D$122</definedName>
    <definedName name="Nom">Расчет!$D$89</definedName>
    <definedName name="Nos">Расчет!$D$87</definedName>
    <definedName name="Nox">Данные!$D$120</definedName>
    <definedName name="Nu">Расчет!$D$85</definedName>
  </definedNames>
  <calcPr calcId="145621" iterate="1"/>
</workbook>
</file>

<file path=xl/calcChain.xml><?xml version="1.0" encoding="utf-8"?>
<calcChain xmlns="http://schemas.openxmlformats.org/spreadsheetml/2006/main">
  <c r="E78" i="1" l="1"/>
  <c r="E79" i="1"/>
  <c r="Q19" i="3" l="1"/>
  <c r="D85" i="1" l="1"/>
  <c r="Q54" i="3" l="1"/>
  <c r="Q55" i="3"/>
  <c r="I33" i="3" l="1"/>
  <c r="D89" i="1" l="1"/>
  <c r="D87" i="1"/>
  <c r="O22" i="3" l="1"/>
  <c r="O21" i="3"/>
  <c r="O20" i="3"/>
  <c r="O19" i="3"/>
  <c r="D86" i="1"/>
  <c r="D88" i="1"/>
  <c r="O30" i="3" l="1"/>
  <c r="O34" i="3"/>
  <c r="O31" i="3"/>
  <c r="O27" i="3"/>
  <c r="O29" i="3"/>
  <c r="O33" i="3"/>
  <c r="O36" i="3"/>
  <c r="O38" i="3"/>
  <c r="O41" i="3"/>
  <c r="O44" i="3"/>
  <c r="O46" i="3"/>
  <c r="O49" i="3"/>
  <c r="O52" i="3"/>
  <c r="O51" i="3"/>
  <c r="O25" i="3"/>
  <c r="O37" i="3"/>
  <c r="O50" i="3"/>
  <c r="O43" i="3"/>
  <c r="O26" i="3"/>
  <c r="O32" i="3"/>
  <c r="O40" i="3"/>
  <c r="O45" i="3"/>
  <c r="O24" i="3"/>
  <c r="O28" i="3"/>
  <c r="O42" i="3"/>
  <c r="O48" i="3"/>
  <c r="O39" i="3"/>
  <c r="O47" i="3"/>
  <c r="O8" i="3"/>
  <c r="O13" i="3"/>
  <c r="O16" i="3"/>
  <c r="O15" i="3"/>
  <c r="O18" i="3"/>
  <c r="O10" i="3"/>
  <c r="O9" i="3"/>
  <c r="O12" i="3"/>
  <c r="O17" i="3"/>
  <c r="O11" i="3"/>
  <c r="O14" i="3"/>
  <c r="G32" i="1"/>
  <c r="G33" i="1"/>
  <c r="F33" i="1"/>
  <c r="F32" i="1"/>
  <c r="M33" i="3"/>
  <c r="H33" i="1" l="1"/>
  <c r="J33" i="3"/>
  <c r="K51" i="1"/>
  <c r="I51" i="3" s="1"/>
  <c r="J51" i="3" s="1"/>
  <c r="K49" i="1"/>
  <c r="I49" i="3" s="1"/>
  <c r="J49" i="3" s="1"/>
  <c r="K47" i="1"/>
  <c r="I47" i="3" s="1"/>
  <c r="J47" i="3" s="1"/>
  <c r="K45" i="1"/>
  <c r="I45" i="3" s="1"/>
  <c r="J45" i="3" s="1"/>
  <c r="K43" i="1"/>
  <c r="I43" i="3" s="1"/>
  <c r="J43" i="3" s="1"/>
  <c r="K41" i="1"/>
  <c r="I41" i="3" s="1"/>
  <c r="J41" i="3" s="1"/>
  <c r="K39" i="1"/>
  <c r="I39" i="3" s="1"/>
  <c r="J39" i="3" s="1"/>
  <c r="K37" i="1"/>
  <c r="I37" i="3" s="1"/>
  <c r="J37" i="3" s="1"/>
  <c r="I51" i="1"/>
  <c r="I49" i="1"/>
  <c r="I47" i="1"/>
  <c r="I45" i="1"/>
  <c r="I43" i="1"/>
  <c r="I41" i="1"/>
  <c r="I39" i="1"/>
  <c r="I37" i="1"/>
  <c r="F51" i="1"/>
  <c r="H51" i="1" s="1"/>
  <c r="F49" i="1"/>
  <c r="H49" i="1" s="1"/>
  <c r="F47" i="1"/>
  <c r="H47" i="1" s="1"/>
  <c r="F45" i="1"/>
  <c r="H45" i="1" s="1"/>
  <c r="F43" i="1"/>
  <c r="H43" i="1" s="1"/>
  <c r="F41" i="1"/>
  <c r="H41" i="1" s="1"/>
  <c r="F39" i="1"/>
  <c r="H39" i="1" s="1"/>
  <c r="F37" i="1"/>
  <c r="H37" i="1" s="1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F45" i="3"/>
  <c r="G45" i="1" s="1"/>
  <c r="F46" i="3"/>
  <c r="F47" i="3"/>
  <c r="G47" i="1" s="1"/>
  <c r="F48" i="3"/>
  <c r="F49" i="3"/>
  <c r="G49" i="1" s="1"/>
  <c r="F50" i="3"/>
  <c r="F51" i="3"/>
  <c r="G51" i="1" s="1"/>
  <c r="F37" i="3"/>
  <c r="G37" i="1" s="1"/>
  <c r="F38" i="3"/>
  <c r="F39" i="3"/>
  <c r="G39" i="1" s="1"/>
  <c r="F40" i="3"/>
  <c r="F41" i="3"/>
  <c r="G41" i="1" s="1"/>
  <c r="F42" i="3"/>
  <c r="F43" i="3"/>
  <c r="G43" i="1" s="1"/>
  <c r="J45" i="1" l="1"/>
  <c r="J39" i="1"/>
  <c r="J47" i="1"/>
  <c r="J41" i="1"/>
  <c r="J49" i="1"/>
  <c r="J43" i="1"/>
  <c r="J51" i="1"/>
  <c r="J37" i="1"/>
  <c r="F44" i="3"/>
  <c r="F36" i="3"/>
  <c r="K52" i="1" l="1"/>
  <c r="K50" i="1"/>
  <c r="I50" i="3" s="1"/>
  <c r="J50" i="3" s="1"/>
  <c r="K48" i="1"/>
  <c r="I48" i="3" s="1"/>
  <c r="J48" i="3" s="1"/>
  <c r="K46" i="1"/>
  <c r="I46" i="3" s="1"/>
  <c r="J46" i="3" s="1"/>
  <c r="K44" i="1"/>
  <c r="I44" i="3" s="1"/>
  <c r="J44" i="3" s="1"/>
  <c r="K42" i="1"/>
  <c r="I42" i="3" s="1"/>
  <c r="J42" i="3" s="1"/>
  <c r="K40" i="1"/>
  <c r="I40" i="3" s="1"/>
  <c r="J40" i="3" s="1"/>
  <c r="K36" i="1"/>
  <c r="K38" i="1"/>
  <c r="I38" i="3" s="1"/>
  <c r="J38" i="3" s="1"/>
  <c r="G34" i="1" l="1"/>
  <c r="J34" i="1" s="1"/>
  <c r="F34" i="1"/>
  <c r="H34" i="1" s="1"/>
  <c r="K34" i="1"/>
  <c r="I34" i="3"/>
  <c r="J34" i="3" s="1"/>
  <c r="M52" i="3"/>
  <c r="M36" i="3"/>
  <c r="M9" i="3"/>
  <c r="M10" i="3"/>
  <c r="M11" i="3"/>
  <c r="M12" i="3"/>
  <c r="M13" i="3"/>
  <c r="M14" i="3"/>
  <c r="M15" i="3"/>
  <c r="M16" i="3"/>
  <c r="M17" i="3"/>
  <c r="M18" i="3"/>
  <c r="M8" i="3"/>
  <c r="M32" i="3"/>
  <c r="M34" i="3"/>
  <c r="M24" i="3"/>
  <c r="M25" i="3"/>
  <c r="M26" i="3"/>
  <c r="M27" i="3"/>
  <c r="M28" i="3"/>
  <c r="M29" i="3"/>
  <c r="M30" i="3"/>
  <c r="M31" i="3"/>
  <c r="M22" i="3"/>
  <c r="M19" i="3"/>
  <c r="M20" i="3"/>
  <c r="M21" i="3"/>
  <c r="D139" i="3" l="1"/>
  <c r="D138" i="3"/>
  <c r="D125" i="3"/>
  <c r="D108" i="3"/>
  <c r="D100" i="3"/>
  <c r="D68" i="3"/>
  <c r="M55" i="3"/>
  <c r="D143" i="3" s="1"/>
  <c r="M54" i="3"/>
  <c r="D142" i="3" s="1"/>
  <c r="I52" i="3"/>
  <c r="J52" i="3" s="1"/>
  <c r="I36" i="3"/>
  <c r="J36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2" i="3"/>
  <c r="J22" i="3" s="1"/>
  <c r="I21" i="3"/>
  <c r="J21" i="3" s="1"/>
  <c r="I20" i="3"/>
  <c r="J20" i="3" s="1"/>
  <c r="I18" i="3"/>
  <c r="J18" i="3" s="1"/>
  <c r="B29" i="2" l="1"/>
  <c r="D66" i="1"/>
  <c r="K19" i="1" l="1"/>
  <c r="I19" i="3" s="1"/>
  <c r="J19" i="3" s="1"/>
  <c r="K16" i="1"/>
  <c r="I16" i="3" s="1"/>
  <c r="J16" i="3" s="1"/>
  <c r="K14" i="1"/>
  <c r="I14" i="3" s="1"/>
  <c r="J14" i="3" s="1"/>
  <c r="K12" i="1"/>
  <c r="I12" i="3" s="1"/>
  <c r="J12" i="3" s="1"/>
  <c r="K10" i="1"/>
  <c r="I10" i="3" s="1"/>
  <c r="J10" i="3" s="1"/>
  <c r="K8" i="1"/>
  <c r="I8" i="3" l="1"/>
  <c r="J8" i="3" l="1"/>
  <c r="C73" i="1"/>
  <c r="H68" i="1"/>
  <c r="H67" i="1"/>
  <c r="H66" i="1"/>
  <c r="H65" i="1"/>
  <c r="H64" i="1"/>
  <c r="H63" i="1"/>
  <c r="H62" i="1"/>
  <c r="H61" i="1"/>
  <c r="H60" i="1"/>
  <c r="D92" i="1" l="1"/>
  <c r="D140" i="3" s="1"/>
  <c r="H32" i="1"/>
  <c r="D137" i="3"/>
  <c r="D136" i="3"/>
  <c r="E88" i="1" s="1"/>
  <c r="D91" i="1"/>
  <c r="E80" i="1"/>
  <c r="E81" i="1"/>
  <c r="E82" i="1"/>
  <c r="D134" i="3" l="1"/>
  <c r="E86" i="1" s="1"/>
  <c r="E89" i="1"/>
  <c r="E93" i="1"/>
  <c r="I19" i="1"/>
  <c r="I18" i="1"/>
  <c r="F29" i="1"/>
  <c r="F30" i="1"/>
  <c r="H30" i="1" s="1"/>
  <c r="F31" i="1"/>
  <c r="F28" i="1"/>
  <c r="F27" i="1"/>
  <c r="G21" i="1"/>
  <c r="J21" i="1" s="1"/>
  <c r="G22" i="1"/>
  <c r="J22" i="1" s="1"/>
  <c r="G20" i="1"/>
  <c r="J20" i="1" s="1"/>
  <c r="G18" i="1"/>
  <c r="F21" i="1"/>
  <c r="H21" i="1" s="1"/>
  <c r="F22" i="1"/>
  <c r="H22" i="1" s="1"/>
  <c r="F20" i="1"/>
  <c r="F18" i="1"/>
  <c r="I40" i="1"/>
  <c r="I42" i="1"/>
  <c r="I44" i="1"/>
  <c r="I46" i="1"/>
  <c r="I48" i="1"/>
  <c r="I50" i="1"/>
  <c r="I52" i="1"/>
  <c r="I38" i="1"/>
  <c r="I36" i="1"/>
  <c r="F55" i="1"/>
  <c r="H55" i="1" s="1"/>
  <c r="G55" i="1"/>
  <c r="F56" i="1"/>
  <c r="H56" i="1" s="1"/>
  <c r="G56" i="1"/>
  <c r="F57" i="1"/>
  <c r="G57" i="1"/>
  <c r="G54" i="1"/>
  <c r="F54" i="1"/>
  <c r="H54" i="1" s="1"/>
  <c r="F48" i="1"/>
  <c r="H48" i="1" s="1"/>
  <c r="F50" i="1"/>
  <c r="H50" i="1" s="1"/>
  <c r="F52" i="1"/>
  <c r="H52" i="1" s="1"/>
  <c r="G52" i="1"/>
  <c r="F46" i="1"/>
  <c r="H46" i="1" s="1"/>
  <c r="F44" i="1"/>
  <c r="H44" i="1" s="1"/>
  <c r="F42" i="1"/>
  <c r="H42" i="1" s="1"/>
  <c r="F40" i="1"/>
  <c r="H40" i="1" s="1"/>
  <c r="F38" i="1"/>
  <c r="H38" i="1" s="1"/>
  <c r="F36" i="1"/>
  <c r="H36" i="1" s="1"/>
  <c r="F25" i="1"/>
  <c r="H25" i="1" s="1"/>
  <c r="F26" i="1"/>
  <c r="H26" i="1" s="1"/>
  <c r="F24" i="1"/>
  <c r="H24" i="1" s="1"/>
  <c r="G19" i="1"/>
  <c r="F19" i="1"/>
  <c r="H19" i="1" s="1"/>
  <c r="G25" i="1"/>
  <c r="G26" i="1"/>
  <c r="G27" i="1"/>
  <c r="G28" i="1"/>
  <c r="G29" i="1"/>
  <c r="G30" i="1"/>
  <c r="G31" i="1"/>
  <c r="G24" i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9" i="1"/>
  <c r="H9" i="1" s="1"/>
  <c r="G10" i="1"/>
  <c r="G11" i="1"/>
  <c r="G12" i="1"/>
  <c r="G13" i="1"/>
  <c r="G14" i="1"/>
  <c r="G15" i="1"/>
  <c r="G16" i="1"/>
  <c r="G17" i="1"/>
  <c r="G8" i="1"/>
  <c r="G9" i="1"/>
  <c r="F8" i="1"/>
  <c r="H8" i="1" s="1"/>
  <c r="K25" i="1"/>
  <c r="I25" i="3" s="1"/>
  <c r="J25" i="3" s="1"/>
  <c r="K26" i="1"/>
  <c r="I26" i="3" s="1"/>
  <c r="J26" i="3" s="1"/>
  <c r="K24" i="1"/>
  <c r="I24" i="3" s="1"/>
  <c r="J24" i="3" s="1"/>
  <c r="K11" i="1"/>
  <c r="I11" i="3" s="1"/>
  <c r="J11" i="3" s="1"/>
  <c r="K13" i="1"/>
  <c r="I13" i="3" s="1"/>
  <c r="J13" i="3" s="1"/>
  <c r="K15" i="1"/>
  <c r="I15" i="3" s="1"/>
  <c r="J15" i="3" s="1"/>
  <c r="K17" i="1"/>
  <c r="I17" i="3" s="1"/>
  <c r="J17" i="3" s="1"/>
  <c r="K9" i="1"/>
  <c r="G46" i="1"/>
  <c r="G48" i="1"/>
  <c r="G50" i="1"/>
  <c r="G44" i="1"/>
  <c r="G38" i="1"/>
  <c r="G40" i="1"/>
  <c r="G42" i="1"/>
  <c r="G36" i="1"/>
  <c r="D135" i="3" l="1"/>
  <c r="E87" i="1" s="1"/>
  <c r="K8" i="3"/>
  <c r="J42" i="1"/>
  <c r="J40" i="1"/>
  <c r="I9" i="3"/>
  <c r="J46" i="1"/>
  <c r="J48" i="1"/>
  <c r="J50" i="1"/>
  <c r="J44" i="1"/>
  <c r="J52" i="1"/>
  <c r="J36" i="1"/>
  <c r="J19" i="1"/>
  <c r="J38" i="1"/>
  <c r="H27" i="1"/>
  <c r="H28" i="1"/>
  <c r="H20" i="1"/>
  <c r="H18" i="1"/>
  <c r="H29" i="1"/>
  <c r="I55" i="1"/>
  <c r="J55" i="1" s="1"/>
  <c r="J18" i="1"/>
  <c r="H31" i="1"/>
  <c r="J9" i="3" l="1"/>
  <c r="D90" i="1"/>
  <c r="D123" i="3" s="1"/>
  <c r="D141" i="3"/>
  <c r="I8" i="1"/>
  <c r="D96" i="1"/>
  <c r="D98" i="1"/>
  <c r="D124" i="3" l="1"/>
  <c r="E124" i="3" s="1"/>
  <c r="D99" i="1"/>
  <c r="K9" i="3"/>
  <c r="J8" i="1"/>
  <c r="D97" i="1"/>
  <c r="I9" i="1" l="1"/>
  <c r="J9" i="1" l="1"/>
  <c r="K10" i="3"/>
  <c r="I10" i="1" l="1"/>
  <c r="J10" i="1" s="1"/>
  <c r="K11" i="3" l="1"/>
  <c r="I11" i="1" l="1"/>
  <c r="J11" i="1" s="1"/>
  <c r="K12" i="3" l="1"/>
  <c r="I12" i="1" l="1"/>
  <c r="J12" i="1" s="1"/>
  <c r="K13" i="3" l="1"/>
  <c r="I13" i="1" l="1"/>
  <c r="J13" i="1" s="1"/>
  <c r="K14" i="3" l="1"/>
  <c r="I14" i="1" l="1"/>
  <c r="J14" i="1" s="1"/>
  <c r="K15" i="3" l="1"/>
  <c r="I15" i="1" l="1"/>
  <c r="K16" i="3" s="1"/>
  <c r="J15" i="1" l="1"/>
  <c r="I16" i="1"/>
  <c r="K17" i="3" l="1"/>
  <c r="J16" i="1"/>
  <c r="I17" i="1" l="1"/>
  <c r="D57" i="1"/>
  <c r="H57" i="1" s="1"/>
  <c r="D64" i="1" s="1"/>
  <c r="K27" i="3" l="1"/>
  <c r="J17" i="1"/>
  <c r="I54" i="1"/>
  <c r="J54" i="1" s="1"/>
  <c r="D71" i="1"/>
  <c r="I27" i="1" l="1"/>
  <c r="K28" i="3" s="1"/>
  <c r="J27" i="1" l="1"/>
  <c r="I28" i="1"/>
  <c r="J28" i="1" s="1"/>
  <c r="K29" i="3" l="1"/>
  <c r="I29" i="1" l="1"/>
  <c r="J29" i="1" s="1"/>
  <c r="K30" i="3" l="1"/>
  <c r="I30" i="1"/>
  <c r="J30" i="1" s="1"/>
  <c r="K31" i="3" l="1"/>
  <c r="I31" i="1" s="1"/>
  <c r="J31" i="1" s="1"/>
  <c r="K32" i="3" l="1"/>
  <c r="I32" i="1" s="1"/>
  <c r="J32" i="1" s="1"/>
  <c r="K33" i="3" l="1"/>
  <c r="I33" i="1" l="1"/>
  <c r="J33" i="1" s="1"/>
  <c r="K24" i="3" l="1"/>
  <c r="I24" i="1"/>
  <c r="J24" i="1" s="1"/>
  <c r="K25" i="3" l="1"/>
  <c r="I25" i="1"/>
  <c r="J25" i="1" s="1"/>
  <c r="K26" i="3" l="1"/>
  <c r="D72" i="3" l="1"/>
  <c r="I26" i="1"/>
  <c r="J26" i="1" s="1"/>
  <c r="D65" i="1" l="1"/>
  <c r="D95" i="1"/>
  <c r="D132" i="3" l="1"/>
  <c r="D67" i="1"/>
  <c r="D104" i="3"/>
  <c r="D72" i="1"/>
  <c r="D73" i="1" s="1"/>
  <c r="D105" i="3"/>
  <c r="D78" i="1" l="1"/>
  <c r="D82" i="1"/>
  <c r="D80" i="1"/>
  <c r="D79" i="1"/>
  <c r="D81" i="1"/>
  <c r="P11" i="3"/>
  <c r="E11" i="1" s="1"/>
  <c r="P15" i="3"/>
  <c r="E15" i="1" s="1"/>
  <c r="P19" i="3"/>
  <c r="E19" i="1" s="1"/>
  <c r="P24" i="3"/>
  <c r="E24" i="1" s="1"/>
  <c r="P28" i="3"/>
  <c r="E28" i="1" s="1"/>
  <c r="P32" i="3"/>
  <c r="E32" i="1" s="1"/>
  <c r="P37" i="3"/>
  <c r="E37" i="1" s="1"/>
  <c r="P41" i="3"/>
  <c r="E41" i="1" s="1"/>
  <c r="P45" i="3"/>
  <c r="E45" i="1" s="1"/>
  <c r="P49" i="3"/>
  <c r="E49" i="1" s="1"/>
  <c r="P54" i="3"/>
  <c r="E54" i="1" s="1"/>
  <c r="P8" i="3"/>
  <c r="E8" i="1" s="1"/>
  <c r="P12" i="3"/>
  <c r="E12" i="1" s="1"/>
  <c r="P16" i="3"/>
  <c r="E16" i="1" s="1"/>
  <c r="P20" i="3"/>
  <c r="E20" i="1" s="1"/>
  <c r="P29" i="3"/>
  <c r="E29" i="1" s="1"/>
  <c r="P33" i="3"/>
  <c r="E33" i="1" s="1"/>
  <c r="P38" i="3"/>
  <c r="E38" i="1" s="1"/>
  <c r="P42" i="3"/>
  <c r="E42" i="1" s="1"/>
  <c r="P46" i="3"/>
  <c r="E46" i="1" s="1"/>
  <c r="P50" i="3"/>
  <c r="E50" i="1" s="1"/>
  <c r="P55" i="3"/>
  <c r="E55" i="1" s="1"/>
  <c r="P9" i="3"/>
  <c r="E9" i="1" s="1"/>
  <c r="P13" i="3"/>
  <c r="E13" i="1" s="1"/>
  <c r="P17" i="3"/>
  <c r="E17" i="1" s="1"/>
  <c r="P21" i="3"/>
  <c r="E21" i="1" s="1"/>
  <c r="P25" i="3"/>
  <c r="E25" i="1" s="1"/>
  <c r="P26" i="3"/>
  <c r="E26" i="1" s="1"/>
  <c r="P30" i="3"/>
  <c r="E30" i="1" s="1"/>
  <c r="P34" i="3"/>
  <c r="E34" i="1" s="1"/>
  <c r="P39" i="3"/>
  <c r="E39" i="1" s="1"/>
  <c r="P43" i="3"/>
  <c r="E43" i="1" s="1"/>
  <c r="P47" i="3"/>
  <c r="E47" i="1" s="1"/>
  <c r="P51" i="3"/>
  <c r="E51" i="1" s="1"/>
  <c r="P56" i="3"/>
  <c r="P10" i="3"/>
  <c r="E10" i="1" s="1"/>
  <c r="P14" i="3"/>
  <c r="E14" i="1" s="1"/>
  <c r="P18" i="3"/>
  <c r="E18" i="1" s="1"/>
  <c r="P22" i="3"/>
  <c r="E22" i="1" s="1"/>
  <c r="P27" i="3"/>
  <c r="E27" i="1" s="1"/>
  <c r="P31" i="3"/>
  <c r="E31" i="1" s="1"/>
  <c r="P36" i="3"/>
  <c r="E36" i="1" s="1"/>
  <c r="P40" i="3"/>
  <c r="E40" i="1" s="1"/>
  <c r="P44" i="3"/>
  <c r="E44" i="1" s="1"/>
  <c r="P48" i="3"/>
  <c r="E48" i="1" s="1"/>
  <c r="P52" i="3"/>
  <c r="E52" i="1" s="1"/>
  <c r="D133" i="3"/>
  <c r="D131" i="3" s="1"/>
  <c r="D74" i="1"/>
  <c r="E65" i="1"/>
  <c r="E56" i="1" l="1"/>
  <c r="P57" i="3"/>
  <c r="E57" i="1" s="1"/>
</calcChain>
</file>

<file path=xl/sharedStrings.xml><?xml version="1.0" encoding="utf-8"?>
<sst xmlns="http://schemas.openxmlformats.org/spreadsheetml/2006/main" count="561" uniqueCount="524">
  <si>
    <t>Дополнительные параметры</t>
  </si>
  <si>
    <t>Количество устройств, шт.</t>
  </si>
  <si>
    <t>Ток всех устройств в дежурном режиме, мА</t>
  </si>
  <si>
    <t>22051E-63 Дымовой извещатель</t>
  </si>
  <si>
    <t>22051EI-63 Дымовой извещатель с изолятором КЗ</t>
  </si>
  <si>
    <t>52051E-63 Тепловой извещатель</t>
  </si>
  <si>
    <t>52051EI-63 Тепловой извещатель с изолятором КЗ</t>
  </si>
  <si>
    <t>52051RE-63 Тепловой максимально-дифференциальный извещатель</t>
  </si>
  <si>
    <t>52051REI-63 Тепловой максимально-дифференциальный извещатель с изолятором КЗ</t>
  </si>
  <si>
    <t>52051HTE-63 Высокотемпературный тепловой максимальный извещатель</t>
  </si>
  <si>
    <t>52051HTEI-63 Высокотемпературный тепловой максимальный извещатель с изолятором КЗ</t>
  </si>
  <si>
    <t>22051TE-63 Комбинированный извещатель</t>
  </si>
  <si>
    <t>22051TEI-63 Комбинированный извещатель с изолятором КЗ</t>
  </si>
  <si>
    <t>6500-63 или 6500S-63 Линейный дымовой извещатель</t>
  </si>
  <si>
    <t>22051EISE Извещатель дымовой оптикоэлектронный искробезопасный</t>
  </si>
  <si>
    <t>FL2011EI Одноканальный аспирационный извещатель с одним лазерным сенсором</t>
  </si>
  <si>
    <t>FL2012EI Одноканальный аспирационный извещатель с двумя лазерными сенсорами</t>
  </si>
  <si>
    <t>FL2022EI Двухканальный аспирационный извещатель</t>
  </si>
  <si>
    <t>Модули</t>
  </si>
  <si>
    <t>ИП535-19/02 ID63 (M5A-RP02FG-S-63) Ручной извещатель с изолятором КЗ</t>
  </si>
  <si>
    <t>WCP5А-RP02SG-214-01 Влагозащищенный ручной извещатель с изолятором КЗ</t>
  </si>
  <si>
    <t>УДП5А-YP02FF-S-02 (M5A-YP02FF-S-02-63) Адресное УДП с изолятором КЗ</t>
  </si>
  <si>
    <t>M201E-240 или M201E-240DIN Адресное силовое реле</t>
  </si>
  <si>
    <t>М201Е Адресное реле</t>
  </si>
  <si>
    <t>М210Е Модуль контроля одноканальный</t>
  </si>
  <si>
    <t>M220E Модуль контроля двухканальный</t>
  </si>
  <si>
    <t>М221Е Модуль контроля и управления</t>
  </si>
  <si>
    <t>Оповещатели</t>
  </si>
  <si>
    <t>WST-PR-N63 Оповещатель адресный световой (строб лампа)</t>
  </si>
  <si>
    <t>Аксессуары</t>
  </si>
  <si>
    <t>RA100Z Выносной оптический сигнализатор (ВУОС)</t>
  </si>
  <si>
    <t>IST200 Интеллектуальный преобразователь</t>
  </si>
  <si>
    <t>KFD0-CS-Ex1.54 Блок искрозащиты</t>
  </si>
  <si>
    <t>Ток устройства в дежурном режиме, мА</t>
  </si>
  <si>
    <t>Добавочный ток  устройства в режиме тревоги, мА</t>
  </si>
  <si>
    <t>Добавочный ток всех устройств в режиме тревоги, мА</t>
  </si>
  <si>
    <t>Количество  изоляторов КЗ</t>
  </si>
  <si>
    <t xml:space="preserve">Количество устройств, индицирующих тревогу </t>
  </si>
  <si>
    <t>Вычет количества индицирующих</t>
  </si>
  <si>
    <t>очередь включения индикации (для справки)</t>
  </si>
  <si>
    <t>Максимальное количество</t>
  </si>
  <si>
    <t>Имя (дублер)</t>
  </si>
  <si>
    <t>Извещатели</t>
  </si>
  <si>
    <t>22051E</t>
  </si>
  <si>
    <t>22051EI</t>
  </si>
  <si>
    <t>52051E</t>
  </si>
  <si>
    <t>52051EI</t>
  </si>
  <si>
    <t>52051RE</t>
  </si>
  <si>
    <t>52051REI</t>
  </si>
  <si>
    <t>52051HTE</t>
  </si>
  <si>
    <t>52051HTEI</t>
  </si>
  <si>
    <t>22051TE</t>
  </si>
  <si>
    <t>22051TEI</t>
  </si>
  <si>
    <t>6500/6500S</t>
  </si>
  <si>
    <t>22051EISE</t>
  </si>
  <si>
    <t>FL2011EI</t>
  </si>
  <si>
    <t>FL2012EI</t>
  </si>
  <si>
    <t>FL2022EI</t>
  </si>
  <si>
    <t>M5A I</t>
  </si>
  <si>
    <t>WCP5A I</t>
  </si>
  <si>
    <t>УДП5А I</t>
  </si>
  <si>
    <t>M201E-240</t>
  </si>
  <si>
    <t>M201E</t>
  </si>
  <si>
    <t>M210E</t>
  </si>
  <si>
    <t>M220E</t>
  </si>
  <si>
    <t>M221E</t>
  </si>
  <si>
    <t>M210E-CZR</t>
  </si>
  <si>
    <t>WST</t>
  </si>
  <si>
    <t>Аксесуары</t>
  </si>
  <si>
    <t>6500RTS-KEY</t>
  </si>
  <si>
    <t>6500RTS-KEY Выносной пульт управления</t>
  </si>
  <si>
    <t>RA100Z</t>
  </si>
  <si>
    <t>IST200</t>
  </si>
  <si>
    <t>KFD0</t>
  </si>
  <si>
    <t>Сопротивление изолятора, Ом</t>
  </si>
  <si>
    <t>доп. ток изолятора КЗ, мА</t>
  </si>
  <si>
    <t>Ток индикации тревоги, мА</t>
  </si>
  <si>
    <t>Ток в дежурном режиме, мА</t>
  </si>
  <si>
    <t>Сопротивление изоляторов, Ом</t>
  </si>
  <si>
    <t>Доб ток</t>
  </si>
  <si>
    <t>строба, мА</t>
  </si>
  <si>
    <t>Громкость, тон</t>
  </si>
  <si>
    <t>Коэффициент потребления тока от источника питания 24 В</t>
  </si>
  <si>
    <t>Коэффициент потребления тока от источника резервного питания</t>
  </si>
  <si>
    <t>Коэффициент пересчета с 24 В на АКБ</t>
  </si>
  <si>
    <t>Максимальное количество индикаторов в Адвансед протокол</t>
  </si>
  <si>
    <t>Высокая, 1</t>
  </si>
  <si>
    <t>Высокая, 2</t>
  </si>
  <si>
    <t>Высокая, 3</t>
  </si>
  <si>
    <t>Высокая, 4</t>
  </si>
  <si>
    <t>Высокая, 5</t>
  </si>
  <si>
    <t>Высокая, 6</t>
  </si>
  <si>
    <t>Высокая, 7</t>
  </si>
  <si>
    <t>Высокая, 8</t>
  </si>
  <si>
    <t>Высокая, 9</t>
  </si>
  <si>
    <t>Высокая, 10</t>
  </si>
  <si>
    <t>Высокая, 11</t>
  </si>
  <si>
    <t>Высокая, 12</t>
  </si>
  <si>
    <t>Высокая, 13</t>
  </si>
  <si>
    <t>Высокая, 14</t>
  </si>
  <si>
    <t>Высокая, 15</t>
  </si>
  <si>
    <t>Высокая, 16</t>
  </si>
  <si>
    <t>Высокая, 17</t>
  </si>
  <si>
    <t>Высокая, 18</t>
  </si>
  <si>
    <t>Высокая, 19</t>
  </si>
  <si>
    <t>Высокая, 20</t>
  </si>
  <si>
    <t>Высокая, 21</t>
  </si>
  <si>
    <t>Высокая, 22</t>
  </si>
  <si>
    <t>Высокая, 23</t>
  </si>
  <si>
    <t>Высокая, 24</t>
  </si>
  <si>
    <t>Высокая, 25</t>
  </si>
  <si>
    <t>Высокая, 26</t>
  </si>
  <si>
    <t>Высокая, 27</t>
  </si>
  <si>
    <t>Высокая, 28</t>
  </si>
  <si>
    <t>Высокая, 29</t>
  </si>
  <si>
    <t>Высокая, 30</t>
  </si>
  <si>
    <t>Высокая, 31</t>
  </si>
  <si>
    <t>Высокая, 32</t>
  </si>
  <si>
    <t>Средняя, 1</t>
  </si>
  <si>
    <t>Средняя, 2</t>
  </si>
  <si>
    <t>Средняя, 3</t>
  </si>
  <si>
    <t>Средняя, 4</t>
  </si>
  <si>
    <t>Средняя, 5</t>
  </si>
  <si>
    <t>Средняя, 6</t>
  </si>
  <si>
    <t>Средняя, 7</t>
  </si>
  <si>
    <t>Средняя, 8</t>
  </si>
  <si>
    <t>Средняя, 9</t>
  </si>
  <si>
    <t>Средняя, 10</t>
  </si>
  <si>
    <t>Средняя, 11</t>
  </si>
  <si>
    <t>Средняя, 12</t>
  </si>
  <si>
    <t>Средняя, 13</t>
  </si>
  <si>
    <t>Средняя, 14</t>
  </si>
  <si>
    <t>Средняя, 15</t>
  </si>
  <si>
    <t>Средняя, 16</t>
  </si>
  <si>
    <t>Средняя, 17</t>
  </si>
  <si>
    <t>Средняя, 18</t>
  </si>
  <si>
    <t>Средняя, 19</t>
  </si>
  <si>
    <t>Средняя, 20</t>
  </si>
  <si>
    <t>Средняя, 21</t>
  </si>
  <si>
    <t>Средняя, 22</t>
  </si>
  <si>
    <t>Средняя, 23</t>
  </si>
  <si>
    <t>Средняя, 24</t>
  </si>
  <si>
    <t>Средняя, 25</t>
  </si>
  <si>
    <t>Средняя, 26</t>
  </si>
  <si>
    <t>Средняя, 27</t>
  </si>
  <si>
    <t>Средняя, 28</t>
  </si>
  <si>
    <t>Средняя, 29</t>
  </si>
  <si>
    <t>Средняя, 30</t>
  </si>
  <si>
    <t>Средняя, 31</t>
  </si>
  <si>
    <t>Средняя, 32</t>
  </si>
  <si>
    <t>Коэффициент распределения нагрузки в шлейфе</t>
  </si>
  <si>
    <t>Максимальное сопротивление адресного шлейфа, Ом</t>
  </si>
  <si>
    <t>Таблица 2. Параметры шлейфа.</t>
  </si>
  <si>
    <t>Таблица 3. Токи адресного шлейфа.</t>
  </si>
  <si>
    <t>0. На этот лист собраны текстовые заметки, лист по умолчанию скрыт от пользователя</t>
  </si>
  <si>
    <t>1. Проверяемые параметры</t>
  </si>
  <si>
    <t>Параметр</t>
  </si>
  <si>
    <t>Способ проверки</t>
  </si>
  <si>
    <t>Количество устройств одного типа</t>
  </si>
  <si>
    <t>Индикация</t>
  </si>
  <si>
    <t>Ток шлейфа в дежурном режиме, мА</t>
  </si>
  <si>
    <t>Ток шлейфа максимальный, в режиме активности, мА</t>
  </si>
  <si>
    <t>Ток шлейфа максимально допустимый, мА</t>
  </si>
  <si>
    <t>Таблица 4. Расчет параметров аккумуляторной батареи.</t>
  </si>
  <si>
    <t>Ток, потребляемый от АКБ модулем СФ-МАШ-4, мА</t>
  </si>
  <si>
    <t>Ток, потребляемый от АКБ в дежурном режиме, мА</t>
  </si>
  <si>
    <t>Ёмкость АКБ, рекомендуемая, Ач</t>
  </si>
  <si>
    <t>Таблица 1а. Проверка расчета.</t>
  </si>
  <si>
    <t>Таблица 5. Максимальная длина адресного шлейфа.</t>
  </si>
  <si>
    <t>Таблица 6. Устройства в адресном шлейфе.</t>
  </si>
  <si>
    <t>Количество устройств в адресном шлейфе</t>
  </si>
  <si>
    <t>Количество занятых адресов датчиков (с 1 по 159)</t>
  </si>
  <si>
    <t>Количество изоляторов короткого замыкания</t>
  </si>
  <si>
    <t>Количество искробезопасных извещателей</t>
  </si>
  <si>
    <t>Сопротивление кабеля, 2хОм/км</t>
  </si>
  <si>
    <t>Длина шлейфа</t>
  </si>
  <si>
    <t>Таблица 7. Справочные данные.</t>
  </si>
  <si>
    <t>Ток сработавших изоляторов КЗ, мА</t>
  </si>
  <si>
    <t>Сопротивление, вносимое изоляторами КЗ, Ом</t>
  </si>
  <si>
    <t>Максимальное сопротивление шлейфа, Ом</t>
  </si>
  <si>
    <t>Запас по максимальному току, %</t>
  </si>
  <si>
    <t>*************</t>
  </si>
  <si>
    <t>Поле дополнительных данных</t>
  </si>
  <si>
    <t>Использовать M201E</t>
  </si>
  <si>
    <t>Срабатывать изоляторы КЗ при активности</t>
  </si>
  <si>
    <t>АВТО</t>
  </si>
  <si>
    <t>ДА</t>
  </si>
  <si>
    <t>Таблица 8. Выбор параметров разработчика.</t>
  </si>
  <si>
    <t>Таблица 9. Коэффициенты потребления тока к таблицам 1, 3 и 4.</t>
  </si>
  <si>
    <t>Таблица 10. Максимальное количество устройств, индицирующих тревогу к таблице 1.</t>
  </si>
  <si>
    <t>Внешнее</t>
  </si>
  <si>
    <t>Питание</t>
  </si>
  <si>
    <t>Ток АР, мА</t>
  </si>
  <si>
    <t>Ток ДР, мА</t>
  </si>
  <si>
    <t>Шлейф</t>
  </si>
  <si>
    <t>Таблица 11. Список выбора и добавочные токи для M210E-CZR, к таблице 1.</t>
  </si>
  <si>
    <t>Ток, мА</t>
  </si>
  <si>
    <t>Таблица 11а. Выбор оповещателя к таблице 1.</t>
  </si>
  <si>
    <t>КРН в шлейфе</t>
  </si>
  <si>
    <t>Вся нагрузка на одном конце шлейфа</t>
  </si>
  <si>
    <t>Равномерное распределение</t>
  </si>
  <si>
    <t>Неравномерное распределение</t>
  </si>
  <si>
    <t>Согласно реализации протокола</t>
  </si>
  <si>
    <t>Согласно ГОСТ</t>
  </si>
  <si>
    <t>Максимальная длина шлейфа по старому протоколу</t>
  </si>
  <si>
    <t>Добавочная длина шлейфа по новому протоколу</t>
  </si>
  <si>
    <t>Все устройства работают по новому протоколу</t>
  </si>
  <si>
    <t>Таблица 13. Данные для определения длины шлейфа к таблице 5.</t>
  </si>
  <si>
    <t>N. Verlog</t>
  </si>
  <si>
    <t>3.8.1.</t>
  </si>
  <si>
    <t>Почалось</t>
  </si>
  <si>
    <t>3.8.2.</t>
  </si>
  <si>
    <t>Ввел, так как удалил столбцы с токами ЦЗР при питании шлейфа от шлейфа из таблицы 1 и теперь добавляю их из таблицы 11</t>
  </si>
  <si>
    <t>Удельное сопротивление меди, Ом*м*10E-6</t>
  </si>
  <si>
    <t>Длина отрезка кабеля, за пару, поэтому 2000 м.</t>
  </si>
  <si>
    <t>Таблица 14. Падение напряжения в шлейфе и процент запаса длины шлейфа. Данные к таблице 7.</t>
  </si>
  <si>
    <t>Максимально допустимое падение напряжения в кабеле, мВ</t>
  </si>
  <si>
    <t>Ток одного сработавшего изолятора короткого замыкания, мА</t>
  </si>
  <si>
    <t>Процент запаса длины шлейфа, вводится разработчиком</t>
  </si>
  <si>
    <t>Таблица 12. Выбор коэффициента распределения нагрузки шлейфа к таблице 2.</t>
  </si>
  <si>
    <t>Устанавливать М201Е</t>
  </si>
  <si>
    <t>Включить сработку ИКЗ в активность</t>
  </si>
  <si>
    <t>НЕТ</t>
  </si>
  <si>
    <t>Таблица 14. Коэффициенты к таблице 4.</t>
  </si>
  <si>
    <t>Коэффициент запаса емкости АКБ</t>
  </si>
  <si>
    <t>Время работы в дежурном режиме</t>
  </si>
  <si>
    <t>Время работы в режиме активности</t>
  </si>
  <si>
    <t>Максимальный добавочный ток индикации тревоги, мА</t>
  </si>
  <si>
    <t>Количество искробезопасных извещателей на преобразователь</t>
  </si>
  <si>
    <t>Справочная величина</t>
  </si>
  <si>
    <t>Сечение жил кабеля, мм2</t>
  </si>
  <si>
    <t>Таблица 16. Общая проверка расчета, параметры.</t>
  </si>
  <si>
    <t>Максимальное количество адресов адвансед</t>
  </si>
  <si>
    <t>Максимальное количество адресов старый протокол</t>
  </si>
  <si>
    <t>Максимальное количество изоляторов КЗ</t>
  </si>
  <si>
    <t>Максимальное количество устройств на один изолятор КЗ</t>
  </si>
  <si>
    <t>Максимальное количество ИБ извещателей на преобразователь</t>
  </si>
  <si>
    <t>Таблица 17. Общая проверка расчета, итог.</t>
  </si>
  <si>
    <t>Превышен максимальный ток шлейфа</t>
  </si>
  <si>
    <t>Превышена максимальная емкость АКБ</t>
  </si>
  <si>
    <t>Превышено максимальное количество извещателей</t>
  </si>
  <si>
    <t>Превышено максимальное количество извещателей (старый протокол)</t>
  </si>
  <si>
    <t>Превышено максимальное количество модулей</t>
  </si>
  <si>
    <t>Превышено максимальное количество модулей (старый протокол)</t>
  </si>
  <si>
    <t>Превышено количество искробезопасных на преобразователь</t>
  </si>
  <si>
    <t>Нет преобразователей для искробезопасных оповещателей</t>
  </si>
  <si>
    <t>Есть неучитываемые изоляторы</t>
  </si>
  <si>
    <t>Есть неучитываемые ВУОСы</t>
  </si>
  <si>
    <t>Количество устройств на изолятор короткого замыкания</t>
  </si>
  <si>
    <t>Максимальная емкость АКБ, Ач</t>
  </si>
  <si>
    <t>Количество ИКЗ, учитываемое</t>
  </si>
  <si>
    <t>Есть неучитываемые РТС-КЕЙ</t>
  </si>
  <si>
    <t>Описание</t>
  </si>
  <si>
    <t>Результат</t>
  </si>
  <si>
    <t>Текст сообщения</t>
  </si>
  <si>
    <t>Расчет верен</t>
  </si>
  <si>
    <t>Ошибка расчета искробезопасных извещателей</t>
  </si>
  <si>
    <t>Указано больше ВУОСов, чем извещателей</t>
  </si>
  <si>
    <t>Таблица 0. Параметры устройств.</t>
  </si>
  <si>
    <t>Тоже 3.8.2</t>
  </si>
  <si>
    <t>Дописал таблицы и покрасил. С 13.10.2020 будет версия 3.8.3.</t>
  </si>
  <si>
    <t>VerLog</t>
  </si>
  <si>
    <t>Проверка ввода данных, сравнение со столбцом "Максимальное количество", целое число</t>
  </si>
  <si>
    <t>Окно останова</t>
  </si>
  <si>
    <t>Количество устройств RA100Z и 6500RTS-KEY</t>
  </si>
  <si>
    <t>Наличие устройства</t>
  </si>
  <si>
    <t>Количество устройств больше 0</t>
  </si>
  <si>
    <t>Окно предупреждения, УФ - оранжевая заливка</t>
  </si>
  <si>
    <t>УФ - желтая заливка</t>
  </si>
  <si>
    <t>Наличие ИКЗ у устройств</t>
  </si>
  <si>
    <t>Проверка ввода данных, сравнение со столбцом "Количество устройств", целое число</t>
  </si>
  <si>
    <t>Окно останова, УФ - оранжевая заливка</t>
  </si>
  <si>
    <t>Количество ИКЗ у устройств</t>
  </si>
  <si>
    <t>Количество ИКЗ больше 0</t>
  </si>
  <si>
    <t>Громкость, тон/питание цзр</t>
  </si>
  <si>
    <t>Проверка ввода данных, из списка</t>
  </si>
  <si>
    <t>Количество 22051EISE больше 0 при отсутствии IST200</t>
  </si>
  <si>
    <t>УФ - красная заливка</t>
  </si>
  <si>
    <t>Количество 22051EISE больше 15 на один IST200</t>
  </si>
  <si>
    <t>Количество устройств больше 0 при отсутствии аксессуаров</t>
  </si>
  <si>
    <t>Количество устройств превышает количество аксессуаров в более чем 15 раз</t>
  </si>
  <si>
    <t>УФ - оранжевая заливка</t>
  </si>
  <si>
    <t xml:space="preserve">          в том числе на адресах с 1 по 99 (старый протокол)</t>
  </si>
  <si>
    <t>Количество занятых адресов модулей (с 161 по 319)</t>
  </si>
  <si>
    <t xml:space="preserve">          в том числе на адресах с 161 по 259 (старый протокол)</t>
  </si>
  <si>
    <t>Отличие значений в таблице 2 от значений по умолчанию</t>
  </si>
  <si>
    <t>Значение не равно значению по умолчанию</t>
  </si>
  <si>
    <t>Ток, потребляемый от АКБ в режиме активности, мА</t>
  </si>
  <si>
    <t>т.1а "Расчет верен"</t>
  </si>
  <si>
    <t>Нет ошибок в т.17 и количество устройств больше 0</t>
  </si>
  <si>
    <t>УФ - зеленая заливка, шрифт авто-полужирный</t>
  </si>
  <si>
    <t>т.1а "Превышен максимальный ток шлейфа"</t>
  </si>
  <si>
    <t>Ток шлейфа в режиме активности больше максимального</t>
  </si>
  <si>
    <t>т.1а "Превышена максимальная емкость АКБ"</t>
  </si>
  <si>
    <t>Емкость АКБ больше 17 Ач</t>
  </si>
  <si>
    <t>УФ - красная заливка, шрифт авто-полужирный, в т.ч. ток в активности</t>
  </si>
  <si>
    <t>УФ - красная заливка, шрифт авто-полужирный, в т.ч. емкость АКБ и рекомендуемая емкость АКБ</t>
  </si>
  <si>
    <t>т.1а "Превышено количество извещателей"</t>
  </si>
  <si>
    <t>Количество извещателей больше 159 или по старому протоколу больше 99</t>
  </si>
  <si>
    <t>УФ - красная заливка, шрифт авто-полужирный, в т.ч. количество по адв. или старому протоколу и все добавленые извещатели</t>
  </si>
  <si>
    <t>т.1а "Превышено количество модулей"</t>
  </si>
  <si>
    <t>Количество модулей больше 159 или по старому протоколу больше 99</t>
  </si>
  <si>
    <t>УФ - красная заливка, шрифт авто-полужирный, в т.ч. количество по адв. или старому протоколу и все добавленые модули</t>
  </si>
  <si>
    <t>Изоляторов больше, чем устройств данного типа</t>
  </si>
  <si>
    <t>3.8.3.</t>
  </si>
  <si>
    <t>Доделал таблицу 1а</t>
  </si>
  <si>
    <t>т.1а "Превышено количество изоляторов"</t>
  </si>
  <si>
    <t>Количество изоляторов КЗ больше чем 1 на 15 устройств</t>
  </si>
  <si>
    <t>УФ - оранжевая заливка, штриховка по добавленым изоляторам</t>
  </si>
  <si>
    <t>т.1а "Ошибка расчета искробезопасных извещателей" (красная)</t>
  </si>
  <si>
    <t>т.1а "Ошибка расчета искробезопасных извещателей" (оранж)</t>
  </si>
  <si>
    <t>Добавлены искробезопасные извещатели и не добавлены интеллектуальные преобразователи ИЛИ количество извещателей превышает 15 на преобразователь</t>
  </si>
  <si>
    <t>УФ - красная заливка, шрифт авто-полужирный, в т.ч. строка извещателей и количество преобразователей</t>
  </si>
  <si>
    <t>Добавлены преобразователи но не добавлены извещатели</t>
  </si>
  <si>
    <t>УФ - оранжевая заливка, штриховка по добавленым преобразователям, заливка по количеству извещателей</t>
  </si>
  <si>
    <t>т.1а "Изоляторов больше чем устройств данного типа"</t>
  </si>
  <si>
    <t>Количество изоляторов добавленных к устройству данного типа превышает количество устройств данного типа</t>
  </si>
  <si>
    <t>УФ - оранжевая заливка, в т.ч. по типу и количеству изоляторов</t>
  </si>
  <si>
    <t>т.1а "Больше ВУОСов, чем извещателей"</t>
  </si>
  <si>
    <t>Количество ВУОСов превышает сумму количества ивещателей 22…. и 52….</t>
  </si>
  <si>
    <t>УФ - оранжевая заливка, в т.ч. штриховку по ВУОСам</t>
  </si>
  <si>
    <t>т.1а "Больше RTS-KEY чем 6500"</t>
  </si>
  <si>
    <t>Количество 6500RTS-KEY превышает сумму количества ивещателей 6500</t>
  </si>
  <si>
    <t>УФ - оранжевая заливка, в т.ч. штриховку по 6500RTS-KEY</t>
  </si>
  <si>
    <t>3.8.4.</t>
  </si>
  <si>
    <t>Закончил всю индикацию</t>
  </si>
  <si>
    <t>3.8.5.</t>
  </si>
  <si>
    <t>Ввожу форматирование числовых значений</t>
  </si>
  <si>
    <t>Не работало исключение сработки ИКЗ, теперь работает</t>
  </si>
  <si>
    <t>Снял защиту с редактируемых ячеек</t>
  </si>
  <si>
    <t>3.8.6.</t>
  </si>
  <si>
    <t>Теперь выключаю доп. данные по условному форматированию.</t>
  </si>
  <si>
    <t>Скрываю этот лист</t>
  </si>
  <si>
    <t>Сохраняю как 4.0</t>
  </si>
  <si>
    <t>Защищаю книгу</t>
  </si>
  <si>
    <t>Важная добавочка</t>
  </si>
  <si>
    <t>4.1.</t>
  </si>
  <si>
    <t>Добавил два правила условного форматирования, хотя, думаю, хватило бы и одного: одно белит текст, другое - белит текст и границы ячеек.</t>
  </si>
  <si>
    <t>Таблица 1. Количество устройств и аксессуаров</t>
  </si>
  <si>
    <t>Калькулятор СФ-МАШ-4</t>
  </si>
  <si>
    <t>Тип устройства</t>
  </si>
  <si>
    <t>4.0.2</t>
  </si>
  <si>
    <t>Ошибка критическая, неверно считается ток ЦЗР в режиме питания по шлейфу, по мере уборки индикации падал ток, теперь поправил, все работает как надо.</t>
  </si>
  <si>
    <t>Изменение в таблице, теперь, как и раньше, для устройства без изолятора пишется "НЕТ" в количестве изоляторов</t>
  </si>
  <si>
    <t>Изменено детектирование количество преобразователей при нулевом количестве извещателей, теперь количество преобразователей больше количества извещателей</t>
  </si>
  <si>
    <t>Исправил ошибку, что при выборе в таблице 2 40 Ом, строка не перекрашивалась в желтый</t>
  </si>
  <si>
    <t>Добавочный ток всех сработавших оповещателей, мА</t>
  </si>
  <si>
    <t>Таблица 15. Выбор к таблице 8. Выбор падения напряжения в шлейфе к таблице 14</t>
  </si>
  <si>
    <t>4.0.3.</t>
  </si>
  <si>
    <t>Для корректного определения длины шлейфа при работе с M201E в режиме АВТО подобрал значение падения напряжения в шлейфе. Теперь, при выставлении АВТО в таблицу 14 пишется не 12800, а 15200, если, конечно, нет M201E</t>
  </si>
  <si>
    <t>Но это не точно, увы.</t>
  </si>
  <si>
    <t>Таблица 13. Выбор сопротивления шлейфа к таблице 2.</t>
  </si>
  <si>
    <t>Сопротивление шлейфа, Ом</t>
  </si>
  <si>
    <t>&lt;--- Это он</t>
  </si>
  <si>
    <t>4.0.4</t>
  </si>
  <si>
    <t>Теперь точно, Максимальный ток шлейфа считается исходя из падения напряжения и заданной величины максимального сопротивления шлейфа. Другой расчет - те же значения (почти).</t>
  </si>
  <si>
    <t>Первая версия переработанного калькулятора</t>
  </si>
  <si>
    <t>Превышена максимальная ёмкость АКБ</t>
  </si>
  <si>
    <t>Исправил условное форматирование для выделения извещателей, если их больше 159</t>
  </si>
  <si>
    <t>Поменял условное форматирование для преобразователей больше чем извещателей, теперь выделяется количество извещателей на преобразователь с припиской "&lt;1"</t>
  </si>
  <si>
    <t>Нет искробезопасных извещателей для преобразователей</t>
  </si>
  <si>
    <t>Исправил описание в таблице 17</t>
  </si>
  <si>
    <t>Указано больше пультов, чем 6500(S)</t>
  </si>
  <si>
    <t>Поменял условное форматирование для ВУОС и 6500RTS-KEY</t>
  </si>
  <si>
    <t>Немного изменил описание версии, убрал слова "для пользователей", чтобы не запутаться. Именно эта версия теперь 4.1</t>
  </si>
  <si>
    <t>В старом экселе не скрываются данные, поэтому делаю белый цвет текста и рамок</t>
  </si>
  <si>
    <t>Убрал правило, которое белит только текст</t>
  </si>
  <si>
    <t>Последний гвоздь: утащил все допданные и таблицу 0 на лист "Данные", теперь можно и в релиз.</t>
  </si>
  <si>
    <t>4.1.1</t>
  </si>
  <si>
    <t>Попытка ввести СФ-МКП-220</t>
  </si>
  <si>
    <t>2. Диапазон ячеек, закрываемых условным форматированием, но это не актуально</t>
  </si>
  <si>
    <t>МКП</t>
  </si>
  <si>
    <t>Таблица 11б. Добавочный ток СФ-МКП-220 при отсутствии сетевого напряжения</t>
  </si>
  <si>
    <t>Добавочный ток, мА</t>
  </si>
  <si>
    <t>КПТ24</t>
  </si>
  <si>
    <t>1. добавил таблицу 11б, этот ток добавляется к току дежурного режима при отсутствии сетевого напряжения. Учитывается всегда, дабы не вводить в заблуждения проектировщиков. т.о, ток МКП в любом режиме составляет 2,4*КПТ24 мА</t>
  </si>
  <si>
    <t>Количество занимаемых адресов</t>
  </si>
  <si>
    <t>4.2.</t>
  </si>
  <si>
    <t>Добавлен СФ-МКП-220</t>
  </si>
  <si>
    <t>2. добавил запись о необходимости Б-01 с АКБ 17 Ач, ряд АКБ сохранил: 7-12-17+Б-01-более 17=ошибка</t>
  </si>
  <si>
    <t>Эта версия пойдет для пользователей как версия 4.2</t>
  </si>
  <si>
    <t>Помимо этого обнаружил ошибку в сиренах, перепутаны с и без изолятора КЗ</t>
  </si>
  <si>
    <t>СФ-МКП-220 Адресный блок управления клапаном</t>
  </si>
  <si>
    <t>4.3.</t>
  </si>
  <si>
    <t>Продолжаются сложности с сиренами: ВПР искала приблизительно, теперь точно, в конце надо было указать "ЛОЖЬ"</t>
  </si>
  <si>
    <t>Исправлена ошибка в расчете тока сирен</t>
  </si>
  <si>
    <t>Кроме того подкорректировал списки для выбора использования 201Е и срабатывания ИКЗ</t>
  </si>
  <si>
    <t>WSO med</t>
  </si>
  <si>
    <t>WSO high</t>
  </si>
  <si>
    <t>WSO I med</t>
  </si>
  <si>
    <t>WSO I high</t>
  </si>
  <si>
    <t>BSO med</t>
  </si>
  <si>
    <t>BSO high</t>
  </si>
  <si>
    <t>BSO I med</t>
  </si>
  <si>
    <t>BSO I high</t>
  </si>
  <si>
    <t>WSS med</t>
  </si>
  <si>
    <t>WSS high</t>
  </si>
  <si>
    <t>WSS I med</t>
  </si>
  <si>
    <t>WSS I high</t>
  </si>
  <si>
    <t>BSS med</t>
  </si>
  <si>
    <t>BSS high</t>
  </si>
  <si>
    <t>BSS I med</t>
  </si>
  <si>
    <t>BSS I high</t>
  </si>
  <si>
    <t>WSO-PR-N00 AP ID63 Оповещатель адресный звуковой 🔊</t>
  </si>
  <si>
    <t>WSO-PR-I00 AP ID63 Оповещатель адресный звуковой с изолятором КЗ 🔊</t>
  </si>
  <si>
    <t>BSO-DD-N00 AP ID63 Оповещатель адресный звуковой 🔊</t>
  </si>
  <si>
    <t>BSO-DD-I00 AP ID63 Оповещатель адресный звуковой с изолятором КЗ 🔊</t>
  </si>
  <si>
    <t>WSS-PR-N00 AP ID63 Оповещатель адресный светозвуковой 🔊</t>
  </si>
  <si>
    <t>WSS-PR-I00 AP ID63 Оповещатель адресный светозвуковой с изолятором КЗ 🔊</t>
  </si>
  <si>
    <t>BSS-PC-N00 AP ID63 Оповещатель адресный светозвуковой 🔊</t>
  </si>
  <si>
    <t>BSS-PC-I00 AP ID63 Оповещатель адресный светозвуковой с изолятором КЗ 🔊</t>
  </si>
  <si>
    <t>WSO-PR-N00 AP ID63 Оповещатель адресный звуковой 🔉</t>
  </si>
  <si>
    <t>WSO-PR-I00 AP ID63 Оповещатель адресный звуковой с изолятором КЗ 🔉</t>
  </si>
  <si>
    <t>BSO-DD-N00 AP ID63 Оповещатель адресный звуковой 🔉</t>
  </si>
  <si>
    <t>BSO-DD-I00 AP ID63 Оповещатель адресный звуковой с изолятором КЗ 🔉</t>
  </si>
  <si>
    <t>WSS-PR-N00 AP ID63 Оповещатель адресный светозвуковой 🔉</t>
  </si>
  <si>
    <t>WSS-PR-I00 AP ID63 Оповещатель адресный светозвуковой с изолятором КЗ 🔉</t>
  </si>
  <si>
    <t>BSS-PC-N00 AP ID63 Оповещатель адресный светозвуковой 🔉</t>
  </si>
  <si>
    <t>BSS-PC-I00 AP ID63 Оповещатель адресный светозвуковой с изолятором КЗ 🔉</t>
  </si>
  <si>
    <t>4.4.</t>
  </si>
  <si>
    <t>Добавлены дубли сирен, разведены уровни громкости на средний/высокий</t>
  </si>
  <si>
    <t>Добавил дубли сирен по желанию Пожтехники, теперь громкости разделены на среднюю и высокую.</t>
  </si>
  <si>
    <t>4.4.1.</t>
  </si>
  <si>
    <t>Ещё одна правильная идея: сделать дубль CZR, разделить питание по шлейфу и внешнее, упростить расчет. Это также войдет в 4.4</t>
  </si>
  <si>
    <r>
      <t xml:space="preserve">M210E-CZR Модуль контроля неадресного шлейфа, питание </t>
    </r>
    <r>
      <rPr>
        <b/>
        <sz val="10"/>
        <rFont val="Arial"/>
        <family val="2"/>
        <charset val="204"/>
      </rPr>
      <t>внешнее</t>
    </r>
  </si>
  <si>
    <r>
      <t xml:space="preserve">M210E-CZR Модуль контроля неадресного шлейфа, питание </t>
    </r>
    <r>
      <rPr>
        <b/>
        <sz val="10"/>
        <rFont val="Arial"/>
        <family val="2"/>
        <charset val="204"/>
      </rPr>
      <t>от шлейфа</t>
    </r>
  </si>
  <si>
    <t xml:space="preserve">Громкость, тон сирен </t>
  </si>
  <si>
    <t>Питание внешнее</t>
  </si>
  <si>
    <t>Питание от шлейфа</t>
  </si>
  <si>
    <t>Сделано!</t>
  </si>
  <si>
    <t>4.4.2.</t>
  </si>
  <si>
    <t>Не написал, но, видимо, добавил сечение кабеля 0,205; сменил формат ячеек с сечением на числовой, без десятичных знаков</t>
  </si>
  <si>
    <t>4.4.3.</t>
  </si>
  <si>
    <t>Новый шаг в развитии, попробую добавить столбец возможного добавления</t>
  </si>
  <si>
    <t>Количество задействованых индикаторов</t>
  </si>
  <si>
    <t>по адресу</t>
  </si>
  <si>
    <t>по току</t>
  </si>
  <si>
    <t>Задача нелегка: 1 - изменил метод подсчета датчиков на старом протоколе, теперь если адванседов больше 60, они начинают занимать "в том числе старый протокол"</t>
  </si>
  <si>
    <t>2 - аналогично для модулей</t>
  </si>
  <si>
    <t>Исправил из 4.4.1 - не считались адреса CZR с питанием по шлейфу</t>
  </si>
  <si>
    <t>3 - сделал расчет остатка по адресам</t>
  </si>
  <si>
    <t>4.1 - при этом для IST+KFDO остаток считается как для IST, а ток берется с суммой с KFDO</t>
  </si>
  <si>
    <t>4.2 - при этом у CZR с питанием по шлейфу считается ток не только дежурного режима, но и активности шлейфа через лист данных и коэффициент преобразования</t>
  </si>
  <si>
    <t>4 - сделал расчет остатка по току</t>
  </si>
  <si>
    <t>4.3 - при этом ра100зет и ртс-кей расчет крутится вокруг числа 5 по страшной длинной формуле, потому, что всё непросто</t>
  </si>
  <si>
    <t>4.4 - при этом я молодец, считаю количество 200икс-е, которые сняты с производства. Подчищу в релизе.</t>
  </si>
  <si>
    <t>4.5 - но остальным устройствам с ИКЗ прописал в ток сработку изоляторов</t>
  </si>
  <si>
    <t>4.4.4.</t>
  </si>
  <si>
    <t>Добавил ограничение по изоляторам КЗ</t>
  </si>
  <si>
    <t>Запас тока шлейфа, мА</t>
  </si>
  <si>
    <t>Добавил строчку запаса по току, добавил именованые ячейки</t>
  </si>
  <si>
    <t>Nax - максимальное количество адвансед устройств</t>
  </si>
  <si>
    <t>Nox - максимальное количество устройств, работающих по старому протоколу</t>
  </si>
  <si>
    <t>Nas - количество сенсоров, работающих по адвансед протоколу</t>
  </si>
  <si>
    <t>Nos - количество сенсоров, работающих по старому протоколу</t>
  </si>
  <si>
    <t>Nam - количество модулей, работающих по адвансед протоколу</t>
  </si>
  <si>
    <t>Nom - количество модулей, работающих по старому протоколу</t>
  </si>
  <si>
    <t>dI - разница между максимальным током и током активности (запас по току)</t>
  </si>
  <si>
    <t>Собрал все ограничения в общий столбец по минимальному значению, для избежания отрицательных значений взял из него максимальное по сравнению с нулем</t>
  </si>
  <si>
    <t>4.4.5.</t>
  </si>
  <si>
    <t>Теперь необходимо прибрать таблицу и удалить M200XE</t>
  </si>
  <si>
    <t>ограниченя</t>
  </si>
  <si>
    <t>Удалил M200XE</t>
  </si>
  <si>
    <t>Прибавляю к "возможно установить" количество установленных</t>
  </si>
  <si>
    <t>Перенес ограничения на лист данных, подменил ссылку для вычета, удалил столбец вычета из расчета</t>
  </si>
  <si>
    <t>Датчики</t>
  </si>
  <si>
    <t>Не стал проверять всё условное форматирование, ограничился распространением желтизны на столбец "возможно установить"</t>
  </si>
  <si>
    <t>Условное форматирование надо проверять + в 4.4.6 - изменить логику алертов для изоляторов КЗ, под новый СП их надо больше</t>
  </si>
  <si>
    <t>Осталось потестировать и можно выпустить как 4.5 но нодо ещё см. ниже:</t>
  </si>
  <si>
    <t>4.4.6.</t>
  </si>
  <si>
    <t>Проверил условное форматирование, теперь всё в норме</t>
  </si>
  <si>
    <t>Добавил проверку на ИКЗ для MCP5A, WCP5A, УДП5А, в прошлый раз пропустил</t>
  </si>
  <si>
    <t>Референсное количество устройств на один изолятор КЗ</t>
  </si>
  <si>
    <t>Изменил максимальное количество изоляторов на устройство до 5</t>
  </si>
  <si>
    <t>Добавил референсное количество изоляторов на устройство, теперь это 15</t>
  </si>
  <si>
    <t>Переписал формулы для ограничения по изоляторам КЗ, было 15, стало "Nix" - максимальное количество изоляторов на устройство</t>
  </si>
  <si>
    <t>Пока для 22051EI написал правильную формулу расчета возможной добавки, надо растянуть на все со встроенным изолятором</t>
  </si>
  <si>
    <t>Ещё раз написал новую формулу, теперь заработало, копировал всем</t>
  </si>
  <si>
    <t>Добавил проверку на количество устройств на ИКЗ, теперь их 2: для 5 и 15 устройств на икз</t>
  </si>
  <si>
    <t>Изменил форматирование для корректного отображения порогов по изоляторам</t>
  </si>
  <si>
    <t>4.5.</t>
  </si>
  <si>
    <t>Возможно установить, шт.</t>
  </si>
  <si>
    <t>Удалил Б01</t>
  </si>
  <si>
    <t>Теперь это будет версия 4.5.</t>
  </si>
  <si>
    <t>Добавлен столбец "Возможно установить", изменено отображение количества устройств на изолятор, добавлен вариант аккумулятора 2 х 12, убран бокс Б01</t>
  </si>
  <si>
    <t>Применены изменения 4.4.2. - 4.4.6.</t>
  </si>
  <si>
    <t>4.5.1.</t>
  </si>
  <si>
    <t>В расчете остатков заменил Окрвниз(х;1) на целое(х)</t>
  </si>
  <si>
    <t>В остатках оптимизировал токовые формулы через запас тока dI</t>
  </si>
  <si>
    <t>Количество изоляторов КЗ больше чем 1 на 5 устройств</t>
  </si>
  <si>
    <t>УФ - красная заливка, штриховка по добавленым изоляторам</t>
  </si>
  <si>
    <t>Потерял ограничение для EISE, восстановил из 4.4.5</t>
  </si>
  <si>
    <t>Потерял списки для громкости и тона сирен, восстановил</t>
  </si>
  <si>
    <t>Теперь громкость и тон сирен перекрашиваются, если количество типа больше 0 и тон не 1</t>
  </si>
  <si>
    <t>4.5.2.</t>
  </si>
  <si>
    <t>Проверка условного форматирования построчно и приведение его к единообразию с калькулятором шкафа</t>
  </si>
  <si>
    <t>Сделал общее правило для изоляторов</t>
  </si>
  <si>
    <t>Переписал правила условного форматирования для искробезопасных</t>
  </si>
  <si>
    <t>Переписал расчет тока для интеллектуальных преобразователей, теперь там учитывается установка как минимум одного извещателя на каждый преобразователь. Если будут добавлены сначала извещатели, также вводится поправка</t>
  </si>
  <si>
    <t>4.5a</t>
  </si>
  <si>
    <t>Релиз версии 4.5. с исправлениями 4.5.1 и 4.5.2</t>
  </si>
  <si>
    <t>По просьбе Карима убрал сечения кабеля менне 0,75, но добавил 2,0 и 2,5 от себя</t>
  </si>
  <si>
    <t>4.5.3.</t>
  </si>
  <si>
    <t>Доработочки:</t>
  </si>
  <si>
    <t>Количество устройств на изолятор считалось точно и при выводе округлялось до знака после запятой.</t>
  </si>
  <si>
    <t>В результате имеем запись 5,0 &lt;5, где 5,0 == 4,95…….</t>
  </si>
  <si>
    <t>Поэтому теперь в формуле округляю вниз до 0,1</t>
  </si>
  <si>
    <t>Изменил ряд аккумуляторов - тепреь 7-12-17-2 х 12</t>
  </si>
  <si>
    <t>Ещё одно полезное добавление: если количество устройств на изолятор меньше 5, я показываю, сколько необходимо добавить</t>
  </si>
  <si>
    <t>Добавочное количество устройств на изолятор КЗ</t>
  </si>
  <si>
    <t>Остаток</t>
  </si>
  <si>
    <t>Окончание</t>
  </si>
  <si>
    <t>4.5.4.</t>
  </si>
  <si>
    <t>Теперь меняем калькулятор под новый СП</t>
  </si>
  <si>
    <t>шаг 1 - отключим проверку изоляторов КЗ</t>
  </si>
  <si>
    <t>Другое</t>
  </si>
  <si>
    <t>шаг 1а - также отключаем проверку ИКЗ для возможности добавить извещатели</t>
  </si>
  <si>
    <t>шаг  2 - убираем M5A, W5A и УДП5А без изоляторов КЗ</t>
  </si>
  <si>
    <t>Теперь осталось поправить оформление</t>
  </si>
  <si>
    <t>Оформление поправил</t>
  </si>
  <si>
    <t>5.0.</t>
  </si>
  <si>
    <t>Релиз версии 4.5.4, пока не правил возможно добавить в плане переключения индикации</t>
  </si>
  <si>
    <t>5.0a.</t>
  </si>
  <si>
    <t>Исправил ошибочный список выбора тона/громкости сирен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</si>
</sst>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4"/>
      <name val="Arial Cyr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color theme="0" tint="-4.9989318521683403E-2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0" tint="-4.9989318521683403E-2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0"/>
      <color theme="0" tint="-0.1499984740745262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9" tint="-0.249977111117893"/>
      <name val="Arial"/>
      <family val="2"/>
      <charset val="204"/>
    </font>
    <font>
      <b/>
      <sz val="16"/>
      <name val="Arial Cyr"/>
      <family val="2"/>
      <charset val="204"/>
    </font>
    <font>
      <b/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2" borderId="0" xfId="0" applyFill="1"/>
    <xf numFmtId="0" fontId="2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0" fontId="2" fillId="2" borderId="7" xfId="0" applyFont="1" applyFill="1" applyBorder="1" applyProtection="1">
      <protection hidden="1"/>
    </xf>
    <xf numFmtId="0" fontId="5" fillId="4" borderId="11" xfId="0" applyFont="1" applyFill="1" applyBorder="1" applyAlignment="1" applyProtection="1">
      <alignment horizontal="center" vertical="center" wrapText="1"/>
      <protection hidden="1"/>
    </xf>
    <xf numFmtId="0" fontId="5" fillId="4" borderId="12" xfId="0" applyFont="1" applyFill="1" applyBorder="1" applyAlignment="1" applyProtection="1">
      <alignment horizontal="center" vertical="center" wrapText="1"/>
      <protection hidden="1"/>
    </xf>
    <xf numFmtId="0" fontId="0" fillId="5" borderId="12" xfId="0" applyFill="1" applyBorder="1" applyAlignment="1" applyProtection="1">
      <alignment horizontal="center" vertical="center" wrapText="1"/>
      <protection hidden="1"/>
    </xf>
    <xf numFmtId="0" fontId="5" fillId="3" borderId="11" xfId="0" applyFont="1" applyFill="1" applyBorder="1" applyAlignment="1" applyProtection="1">
      <alignment horizontal="center"/>
      <protection hidden="1"/>
    </xf>
    <xf numFmtId="0" fontId="5" fillId="3" borderId="11" xfId="0" applyNumberFormat="1" applyFont="1" applyFill="1" applyBorder="1" applyAlignment="1" applyProtection="1">
      <alignment horizontal="center"/>
      <protection hidden="1"/>
    </xf>
    <xf numFmtId="0" fontId="5" fillId="3" borderId="6" xfId="0" applyFont="1" applyFill="1" applyBorder="1" applyAlignment="1" applyProtection="1">
      <alignment horizontal="center" vertical="center"/>
      <protection hidden="1"/>
    </xf>
    <xf numFmtId="0" fontId="5" fillId="5" borderId="11" xfId="0" applyFont="1" applyFill="1" applyBorder="1" applyAlignment="1" applyProtection="1">
      <alignment horizontal="center"/>
      <protection hidden="1"/>
    </xf>
    <xf numFmtId="0" fontId="5" fillId="5" borderId="11" xfId="0" applyNumberFormat="1" applyFont="1" applyFill="1" applyBorder="1" applyAlignment="1" applyProtection="1">
      <alignment horizontal="center"/>
      <protection hidden="1"/>
    </xf>
    <xf numFmtId="0" fontId="5" fillId="5" borderId="9" xfId="0" applyFont="1" applyFill="1" applyBorder="1" applyAlignment="1" applyProtection="1">
      <alignment horizontal="center" vertical="center"/>
      <protection hidden="1"/>
    </xf>
    <xf numFmtId="0" fontId="5" fillId="3" borderId="9" xfId="0" applyFont="1" applyFill="1" applyBorder="1" applyAlignment="1" applyProtection="1">
      <alignment horizontal="center" vertical="center"/>
      <protection hidden="1"/>
    </xf>
    <xf numFmtId="0" fontId="5" fillId="5" borderId="6" xfId="0" applyFont="1" applyFill="1" applyBorder="1" applyAlignment="1" applyProtection="1">
      <alignment horizontal="center" vertical="center"/>
      <protection hidden="1"/>
    </xf>
    <xf numFmtId="0" fontId="5" fillId="5" borderId="0" xfId="0" applyFont="1" applyFill="1" applyBorder="1" applyAlignment="1" applyProtection="1">
      <alignment horizontal="center"/>
      <protection hidden="1"/>
    </xf>
    <xf numFmtId="0" fontId="7" fillId="7" borderId="13" xfId="0" applyFont="1" applyFill="1" applyBorder="1" applyProtection="1">
      <protection hidden="1"/>
    </xf>
    <xf numFmtId="0" fontId="8" fillId="7" borderId="12" xfId="0" applyFont="1" applyFill="1" applyBorder="1" applyProtection="1">
      <protection hidden="1"/>
    </xf>
    <xf numFmtId="0" fontId="8" fillId="7" borderId="15" xfId="0" applyFont="1" applyFill="1" applyBorder="1" applyProtection="1">
      <protection hidden="1"/>
    </xf>
    <xf numFmtId="0" fontId="0" fillId="7" borderId="10" xfId="0" applyFill="1" applyBorder="1" applyProtection="1">
      <protection hidden="1"/>
    </xf>
    <xf numFmtId="0" fontId="9" fillId="7" borderId="3" xfId="0" applyFont="1" applyFill="1" applyBorder="1" applyAlignment="1" applyProtection="1">
      <alignment horizontal="center" vertical="center"/>
      <protection hidden="1"/>
    </xf>
    <xf numFmtId="0" fontId="7" fillId="7" borderId="2" xfId="0" applyFont="1" applyFill="1" applyBorder="1" applyProtection="1">
      <protection hidden="1"/>
    </xf>
    <xf numFmtId="0" fontId="7" fillId="7" borderId="4" xfId="0" applyFont="1" applyFill="1" applyBorder="1" applyProtection="1">
      <protection hidden="1"/>
    </xf>
    <xf numFmtId="0" fontId="0" fillId="7" borderId="5" xfId="0" applyFill="1" applyBorder="1" applyProtection="1">
      <protection hidden="1"/>
    </xf>
    <xf numFmtId="0" fontId="7" fillId="7" borderId="6" xfId="0" applyFont="1" applyFill="1" applyBorder="1" applyProtection="1">
      <protection hidden="1"/>
    </xf>
    <xf numFmtId="0" fontId="0" fillId="7" borderId="8" xfId="0" applyFill="1" applyBorder="1" applyProtection="1">
      <protection hidden="1"/>
    </xf>
    <xf numFmtId="0" fontId="0" fillId="5" borderId="11" xfId="0" applyFill="1" applyBorder="1" applyAlignment="1" applyProtection="1">
      <alignment horizontal="center" vertical="center" wrapText="1"/>
      <protection hidden="1"/>
    </xf>
    <xf numFmtId="0" fontId="7" fillId="7" borderId="13" xfId="0" applyFont="1" applyFill="1" applyBorder="1" applyAlignment="1" applyProtection="1">
      <alignment horizontal="center" vertical="center"/>
      <protection hidden="1"/>
    </xf>
    <xf numFmtId="14" fontId="0" fillId="0" borderId="0" xfId="0" applyNumberFormat="1"/>
    <xf numFmtId="0" fontId="0" fillId="0" borderId="11" xfId="0" applyBorder="1" applyAlignment="1">
      <alignment horizontal="center" vertical="center" wrapText="1"/>
    </xf>
    <xf numFmtId="0" fontId="11" fillId="6" borderId="9" xfId="0" applyFont="1" applyFill="1" applyBorder="1" applyAlignment="1" applyProtection="1">
      <protection hidden="1"/>
    </xf>
    <xf numFmtId="0" fontId="12" fillId="8" borderId="11" xfId="0" applyFont="1" applyFill="1" applyBorder="1" applyAlignment="1" applyProtection="1">
      <alignment horizontal="center" vertical="center"/>
      <protection hidden="1"/>
    </xf>
    <xf numFmtId="0" fontId="11" fillId="7" borderId="9" xfId="0" applyFont="1" applyFill="1" applyBorder="1" applyAlignment="1" applyProtection="1">
      <protection hidden="1"/>
    </xf>
    <xf numFmtId="0" fontId="12" fillId="9" borderId="11" xfId="0" applyFont="1" applyFill="1" applyBorder="1" applyAlignment="1" applyProtection="1">
      <alignment horizontal="center" vertical="center"/>
      <protection hidden="1"/>
    </xf>
    <xf numFmtId="0" fontId="9" fillId="2" borderId="0" xfId="0" applyFont="1" applyFill="1" applyProtection="1">
      <protection hidden="1"/>
    </xf>
    <xf numFmtId="0" fontId="9" fillId="2" borderId="0" xfId="0" applyFont="1" applyFill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/>
      <protection locked="0" hidden="1"/>
    </xf>
    <xf numFmtId="0" fontId="5" fillId="2" borderId="11" xfId="0" applyFont="1" applyFill="1" applyBorder="1" applyAlignment="1" applyProtection="1">
      <alignment horizontal="center"/>
      <protection locked="0" hidden="1"/>
    </xf>
    <xf numFmtId="0" fontId="5" fillId="2" borderId="6" xfId="0" applyFont="1" applyFill="1" applyBorder="1" applyAlignment="1" applyProtection="1">
      <alignment horizontal="center" vertical="center"/>
      <protection locked="0" hidden="1"/>
    </xf>
    <xf numFmtId="0" fontId="5" fillId="2" borderId="9" xfId="0" applyFont="1" applyFill="1" applyBorder="1" applyAlignment="1" applyProtection="1">
      <alignment horizontal="center" vertical="center"/>
      <protection locked="0" hidden="1"/>
    </xf>
    <xf numFmtId="0" fontId="5" fillId="2" borderId="1" xfId="0" applyFont="1" applyFill="1" applyBorder="1" applyAlignment="1" applyProtection="1">
      <alignment horizontal="center" vertical="center"/>
      <protection locked="0" hidden="1"/>
    </xf>
    <xf numFmtId="0" fontId="9" fillId="2" borderId="14" xfId="0" applyFont="1" applyFill="1" applyBorder="1" applyAlignment="1" applyProtection="1">
      <alignment horizontal="center" vertical="center"/>
      <protection locked="0" hidden="1"/>
    </xf>
    <xf numFmtId="0" fontId="9" fillId="0" borderId="11" xfId="0" applyFont="1" applyBorder="1" applyAlignment="1" applyProtection="1">
      <alignment horizontal="center" vertical="center"/>
      <protection locked="0" hidden="1"/>
    </xf>
    <xf numFmtId="0" fontId="0" fillId="2" borderId="0" xfId="0" applyFill="1" applyAlignment="1" applyProtection="1">
      <alignment horizontal="center" vertical="center" wrapText="1"/>
      <protection hidden="1"/>
    </xf>
    <xf numFmtId="0" fontId="0" fillId="2" borderId="0" xfId="0" applyFill="1" applyAlignment="1" applyProtection="1">
      <alignment horizontal="center"/>
      <protection hidden="1"/>
    </xf>
    <xf numFmtId="16" fontId="0" fillId="0" borderId="0" xfId="0" applyNumberFormat="1"/>
    <xf numFmtId="0" fontId="0" fillId="2" borderId="0" xfId="0" applyFill="1" applyBorder="1" applyProtection="1">
      <protection hidden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0" xfId="0" applyFill="1"/>
    <xf numFmtId="0" fontId="0" fillId="0" borderId="0" xfId="0" applyFill="1" applyProtection="1">
      <protection hidden="1"/>
    </xf>
    <xf numFmtId="0" fontId="5" fillId="0" borderId="11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protection hidden="1"/>
    </xf>
    <xf numFmtId="0" fontId="0" fillId="0" borderId="13" xfId="0" applyFill="1" applyBorder="1" applyAlignment="1" applyProtection="1">
      <protection hidden="1"/>
    </xf>
    <xf numFmtId="0" fontId="0" fillId="0" borderId="10" xfId="0" applyFill="1" applyBorder="1" applyAlignment="1" applyProtection="1">
      <protection hidden="1"/>
    </xf>
    <xf numFmtId="0" fontId="0" fillId="0" borderId="11" xfId="0" applyFill="1" applyBorder="1" applyProtection="1">
      <protection hidden="1"/>
    </xf>
    <xf numFmtId="0" fontId="0" fillId="0" borderId="11" xfId="0" applyFill="1" applyBorder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0" fillId="0" borderId="1" xfId="0" applyFill="1" applyBorder="1" applyAlignment="1" applyProtection="1">
      <alignment horizontal="center"/>
      <protection hidden="1"/>
    </xf>
    <xf numFmtId="0" fontId="0" fillId="0" borderId="6" xfId="0" applyFill="1" applyBorder="1" applyAlignment="1" applyProtection="1">
      <alignment horizontal="center"/>
      <protection hidden="1"/>
    </xf>
    <xf numFmtId="0" fontId="0" fillId="0" borderId="11" xfId="0" applyFill="1" applyBorder="1" applyAlignment="1" applyProtection="1">
      <alignment horizontal="center" vertical="center"/>
      <protection hidden="1"/>
    </xf>
    <xf numFmtId="0" fontId="0" fillId="0" borderId="9" xfId="0" applyFill="1" applyBorder="1" applyAlignment="1" applyProtection="1">
      <alignment horizontal="center"/>
      <protection hidden="1"/>
    </xf>
    <xf numFmtId="0" fontId="0" fillId="0" borderId="9" xfId="0" applyFill="1" applyBorder="1" applyProtection="1">
      <protection hidden="1"/>
    </xf>
    <xf numFmtId="0" fontId="0" fillId="0" borderId="4" xfId="0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7" fillId="0" borderId="11" xfId="0" applyFont="1" applyFill="1" applyBorder="1" applyAlignment="1" applyProtection="1">
      <protection hidden="1"/>
    </xf>
    <xf numFmtId="164" fontId="7" fillId="0" borderId="11" xfId="0" applyNumberFormat="1" applyFont="1" applyFill="1" applyBorder="1" applyAlignment="1" applyProtection="1">
      <protection hidden="1"/>
    </xf>
    <xf numFmtId="0" fontId="0" fillId="0" borderId="9" xfId="0" applyFill="1" applyBorder="1" applyAlignment="1" applyProtection="1">
      <alignment horizontal="center"/>
      <protection hidden="1"/>
    </xf>
    <xf numFmtId="0" fontId="0" fillId="0" borderId="13" xfId="0" applyFill="1" applyBorder="1" applyAlignment="1" applyProtection="1">
      <alignment horizontal="center"/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14" xfId="0" applyFill="1" applyBorder="1" applyProtection="1">
      <protection hidden="1"/>
    </xf>
    <xf numFmtId="0" fontId="0" fillId="0" borderId="11" xfId="0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16" fontId="0" fillId="0" borderId="0" xfId="0" quotePrefix="1" applyNumberFormat="1"/>
    <xf numFmtId="0" fontId="0" fillId="0" borderId="0" xfId="0" applyFill="1" applyAlignment="1" applyProtection="1">
      <protection hidden="1"/>
    </xf>
    <xf numFmtId="0" fontId="0" fillId="0" borderId="11" xfId="0" applyFill="1" applyBorder="1" applyAlignment="1" applyProtection="1">
      <protection hidden="1"/>
    </xf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9" fillId="3" borderId="11" xfId="0" applyFont="1" applyFill="1" applyBorder="1" applyProtection="1">
      <protection hidden="1"/>
    </xf>
    <xf numFmtId="0" fontId="9" fillId="5" borderId="11" xfId="0" applyFont="1" applyFill="1" applyBorder="1" applyProtection="1">
      <protection hidden="1"/>
    </xf>
    <xf numFmtId="0" fontId="14" fillId="6" borderId="11" xfId="0" applyFont="1" applyFill="1" applyBorder="1" applyProtection="1">
      <protection hidden="1"/>
    </xf>
    <xf numFmtId="164" fontId="14" fillId="8" borderId="11" xfId="0" applyNumberFormat="1" applyFont="1" applyFill="1" applyBorder="1" applyAlignment="1" applyProtection="1">
      <alignment horizontal="center"/>
      <protection hidden="1"/>
    </xf>
    <xf numFmtId="0" fontId="14" fillId="7" borderId="11" xfId="0" applyFont="1" applyFill="1" applyBorder="1" applyProtection="1">
      <protection hidden="1"/>
    </xf>
    <xf numFmtId="164" fontId="14" fillId="9" borderId="11" xfId="0" applyNumberFormat="1" applyFont="1" applyFill="1" applyBorder="1" applyAlignment="1" applyProtection="1">
      <alignment horizontal="center"/>
      <protection hidden="1"/>
    </xf>
    <xf numFmtId="0" fontId="15" fillId="2" borderId="0" xfId="0" applyFont="1" applyFill="1" applyProtection="1">
      <protection hidden="1"/>
    </xf>
    <xf numFmtId="0" fontId="14" fillId="9" borderId="11" xfId="0" applyFont="1" applyFill="1" applyBorder="1" applyAlignment="1" applyProtection="1">
      <alignment horizontal="center"/>
      <protection hidden="1"/>
    </xf>
    <xf numFmtId="164" fontId="14" fillId="9" borderId="11" xfId="0" applyNumberFormat="1" applyFont="1" applyFill="1" applyBorder="1" applyAlignment="1" applyProtection="1">
      <alignment horizontal="center" vertical="center"/>
      <protection hidden="1"/>
    </xf>
    <xf numFmtId="2" fontId="14" fillId="8" borderId="11" xfId="0" applyNumberFormat="1" applyFont="1" applyFill="1" applyBorder="1" applyAlignment="1" applyProtection="1">
      <alignment horizontal="center" vertical="center"/>
      <protection hidden="1"/>
    </xf>
    <xf numFmtId="0" fontId="14" fillId="9" borderId="11" xfId="0" applyFont="1" applyFill="1" applyBorder="1" applyAlignment="1" applyProtection="1">
      <alignment horizontal="center" vertical="center"/>
      <protection hidden="1"/>
    </xf>
    <xf numFmtId="0" fontId="14" fillId="2" borderId="0" xfId="0" applyFont="1" applyFill="1" applyProtection="1">
      <protection hidden="1"/>
    </xf>
    <xf numFmtId="0" fontId="9" fillId="6" borderId="11" xfId="0" applyFont="1" applyFill="1" applyBorder="1" applyAlignment="1" applyProtection="1">
      <alignment horizontal="center" vertical="center"/>
      <protection hidden="1"/>
    </xf>
    <xf numFmtId="0" fontId="9" fillId="6" borderId="11" xfId="0" applyFont="1" applyFill="1" applyBorder="1" applyAlignment="1" applyProtection="1">
      <alignment horizontal="center" vertical="center" wrapText="1"/>
      <protection hidden="1"/>
    </xf>
    <xf numFmtId="0" fontId="9" fillId="6" borderId="11" xfId="0" applyFont="1" applyFill="1" applyBorder="1" applyAlignment="1" applyProtection="1">
      <alignment horizontal="center" wrapText="1"/>
      <protection hidden="1"/>
    </xf>
    <xf numFmtId="0" fontId="11" fillId="7" borderId="11" xfId="0" applyFont="1" applyFill="1" applyBorder="1" applyAlignment="1" applyProtection="1">
      <alignment horizontal="center"/>
      <protection hidden="1"/>
    </xf>
    <xf numFmtId="3" fontId="11" fillId="9" borderId="11" xfId="0" applyNumberFormat="1" applyFont="1" applyFill="1" applyBorder="1" applyAlignment="1" applyProtection="1">
      <alignment horizontal="center" vertical="center"/>
      <protection hidden="1"/>
    </xf>
    <xf numFmtId="0" fontId="11" fillId="6" borderId="11" xfId="0" applyFont="1" applyFill="1" applyBorder="1" applyAlignment="1" applyProtection="1">
      <alignment horizontal="center"/>
      <protection hidden="1"/>
    </xf>
    <xf numFmtId="3" fontId="11" fillId="8" borderId="11" xfId="0" applyNumberFormat="1" applyFont="1" applyFill="1" applyBorder="1" applyAlignment="1" applyProtection="1">
      <alignment horizontal="center" vertical="center"/>
      <protection hidden="1"/>
    </xf>
    <xf numFmtId="164" fontId="11" fillId="7" borderId="11" xfId="0" applyNumberFormat="1" applyFont="1" applyFill="1" applyBorder="1" applyAlignment="1" applyProtection="1">
      <alignment horizontal="center"/>
      <protection hidden="1"/>
    </xf>
    <xf numFmtId="0" fontId="11" fillId="7" borderId="11" xfId="0" applyFont="1" applyFill="1" applyBorder="1" applyProtection="1">
      <protection hidden="1"/>
    </xf>
    <xf numFmtId="0" fontId="11" fillId="9" borderId="11" xfId="0" applyFont="1" applyFill="1" applyBorder="1" applyAlignment="1" applyProtection="1">
      <alignment horizontal="center" vertical="center"/>
      <protection hidden="1"/>
    </xf>
    <xf numFmtId="0" fontId="11" fillId="6" borderId="11" xfId="0" applyFont="1" applyFill="1" applyBorder="1" applyProtection="1">
      <protection hidden="1"/>
    </xf>
    <xf numFmtId="0" fontId="11" fillId="8" borderId="11" xfId="0" applyFont="1" applyFill="1" applyBorder="1" applyAlignment="1" applyProtection="1">
      <alignment horizontal="center" vertical="center"/>
      <protection hidden="1"/>
    </xf>
    <xf numFmtId="0" fontId="11" fillId="9" borderId="11" xfId="0" applyFont="1" applyFill="1" applyBorder="1" applyAlignment="1" applyProtection="1">
      <alignment horizontal="center"/>
      <protection hidden="1"/>
    </xf>
    <xf numFmtId="0" fontId="16" fillId="2" borderId="0" xfId="0" applyFont="1" applyFill="1" applyProtection="1">
      <protection hidden="1"/>
    </xf>
    <xf numFmtId="0" fontId="9" fillId="2" borderId="5" xfId="0" applyFont="1" applyFill="1" applyBorder="1" applyAlignment="1" applyProtection="1">
      <alignment horizontal="center" vertical="center"/>
      <protection locked="0" hidden="1"/>
    </xf>
    <xf numFmtId="0" fontId="5" fillId="5" borderId="11" xfId="0" applyFont="1" applyFill="1" applyBorder="1" applyAlignment="1" applyProtection="1">
      <alignment horizontal="center" vertical="center"/>
      <protection hidden="1"/>
    </xf>
    <xf numFmtId="0" fontId="5" fillId="3" borderId="11" xfId="0" applyFont="1" applyFill="1" applyBorder="1" applyAlignment="1" applyProtection="1">
      <alignment horizontal="center" vertical="center"/>
      <protection hidden="1"/>
    </xf>
    <xf numFmtId="0" fontId="5" fillId="2" borderId="11" xfId="0" applyFont="1" applyFill="1" applyBorder="1" applyAlignment="1" applyProtection="1">
      <alignment horizontal="center" vertical="center"/>
      <protection locked="0" hidden="1"/>
    </xf>
    <xf numFmtId="0" fontId="8" fillId="7" borderId="14" xfId="0" applyFont="1" applyFill="1" applyBorder="1" applyProtection="1">
      <protection hidden="1"/>
    </xf>
    <xf numFmtId="0" fontId="0" fillId="0" borderId="0" xfId="0" applyFill="1" applyAlignment="1">
      <alignment horizontal="right"/>
    </xf>
    <xf numFmtId="0" fontId="9" fillId="7" borderId="15" xfId="0" applyFont="1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 applyProtection="1">
      <alignment horizontal="center" vertical="center" wrapText="1"/>
      <protection hidden="1"/>
    </xf>
    <xf numFmtId="0" fontId="0" fillId="3" borderId="6" xfId="0" applyFill="1" applyBorder="1" applyAlignment="1" applyProtection="1">
      <alignment horizontal="center" vertical="center" wrapText="1"/>
      <protection hidden="1"/>
    </xf>
    <xf numFmtId="0" fontId="0" fillId="3" borderId="8" xfId="0" applyFill="1" applyBorder="1" applyAlignment="1" applyProtection="1">
      <alignment horizontal="center" vertical="center" wrapText="1"/>
      <protection hidden="1"/>
    </xf>
    <xf numFmtId="1" fontId="11" fillId="7" borderId="11" xfId="0" applyNumberFormat="1" applyFont="1" applyFill="1" applyBorder="1" applyAlignment="1" applyProtection="1">
      <alignment horizontal="center"/>
      <protection hidden="1"/>
    </xf>
    <xf numFmtId="1" fontId="11" fillId="6" borderId="11" xfId="0" applyNumberFormat="1" applyFont="1" applyFill="1" applyBorder="1" applyAlignment="1" applyProtection="1">
      <alignment horizontal="center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/>
    <xf numFmtId="164" fontId="11" fillId="9" borderId="11" xfId="0" applyNumberFormat="1" applyFont="1" applyFill="1" applyBorder="1" applyAlignment="1" applyProtection="1">
      <alignment horizontal="center" vertical="center"/>
      <protection hidden="1"/>
    </xf>
    <xf numFmtId="0" fontId="0" fillId="5" borderId="11" xfId="0" applyFill="1" applyBorder="1" applyAlignment="1">
      <alignment horizontal="center" vertical="center" wrapText="1"/>
    </xf>
    <xf numFmtId="0" fontId="0" fillId="0" borderId="11" xfId="0" applyFill="1" applyBorder="1"/>
    <xf numFmtId="0" fontId="0" fillId="0" borderId="11" xfId="0" applyNumberFormat="1" applyFill="1" applyBorder="1"/>
    <xf numFmtId="0" fontId="7" fillId="0" borderId="11" xfId="0" applyFont="1" applyFill="1" applyBorder="1"/>
    <xf numFmtId="0" fontId="6" fillId="7" borderId="13" xfId="0" applyFont="1" applyFill="1" applyBorder="1" applyAlignment="1" applyProtection="1">
      <alignment vertical="center"/>
      <protection hidden="1"/>
    </xf>
    <xf numFmtId="0" fontId="6" fillId="7" borderId="10" xfId="0" applyFont="1" applyFill="1" applyBorder="1" applyAlignment="1" applyProtection="1">
      <alignment vertical="center"/>
      <protection hidden="1"/>
    </xf>
    <xf numFmtId="0" fontId="10" fillId="7" borderId="13" xfId="0" applyFont="1" applyFill="1" applyBorder="1" applyProtection="1">
      <protection hidden="1"/>
    </xf>
    <xf numFmtId="0" fontId="0" fillId="7" borderId="13" xfId="0" applyFill="1" applyBorder="1" applyProtection="1">
      <protection hidden="1"/>
    </xf>
    <xf numFmtId="0" fontId="0" fillId="3" borderId="11" xfId="0" applyFill="1" applyBorder="1" applyAlignment="1" applyProtection="1">
      <alignment horizontal="center" vertical="center"/>
      <protection hidden="1"/>
    </xf>
    <xf numFmtId="0" fontId="0" fillId="5" borderId="11" xfId="0" applyFill="1" applyBorder="1" applyAlignment="1" applyProtection="1">
      <alignment horizontal="center" vertical="center"/>
      <protection hidden="1"/>
    </xf>
    <xf numFmtId="0" fontId="14" fillId="6" borderId="11" xfId="0" applyFont="1" applyFill="1" applyBorder="1" applyAlignment="1" applyProtection="1">
      <alignment vertical="center"/>
      <protection hidden="1"/>
    </xf>
    <xf numFmtId="164" fontId="14" fillId="8" borderId="11" xfId="0" applyNumberFormat="1" applyFont="1" applyFill="1" applyBorder="1" applyAlignment="1" applyProtection="1">
      <alignment horizontal="center" vertical="center"/>
      <protection hidden="1"/>
    </xf>
    <xf numFmtId="0" fontId="11" fillId="6" borderId="11" xfId="0" applyFont="1" applyFill="1" applyBorder="1" applyAlignment="1" applyProtection="1">
      <alignment horizontal="center" vertical="center"/>
      <protection hidden="1"/>
    </xf>
    <xf numFmtId="0" fontId="0" fillId="0" borderId="15" xfId="0" applyFill="1" applyBorder="1" applyProtection="1">
      <protection hidden="1"/>
    </xf>
    <xf numFmtId="0" fontId="12" fillId="9" borderId="11" xfId="0" applyNumberFormat="1" applyFont="1" applyFill="1" applyBorder="1" applyAlignment="1" applyProtection="1">
      <alignment horizontal="center" vertical="center"/>
      <protection hidden="1"/>
    </xf>
    <xf numFmtId="164" fontId="11" fillId="8" borderId="11" xfId="0" applyNumberFormat="1" applyFont="1" applyFill="1" applyBorder="1" applyAlignment="1" applyProtection="1">
      <alignment horizontal="center" vertical="center"/>
      <protection hidden="1"/>
    </xf>
    <xf numFmtId="0" fontId="13" fillId="2" borderId="9" xfId="0" applyFont="1" applyFill="1" applyBorder="1" applyAlignment="1" applyProtection="1">
      <alignment horizontal="center"/>
      <protection hidden="1"/>
    </xf>
    <xf numFmtId="0" fontId="13" fillId="2" borderId="13" xfId="0" applyFont="1" applyFill="1" applyBorder="1" applyAlignment="1" applyProtection="1">
      <alignment horizontal="center"/>
      <protection hidden="1"/>
    </xf>
    <xf numFmtId="0" fontId="13" fillId="2" borderId="10" xfId="0" applyFont="1" applyFill="1" applyBorder="1" applyAlignment="1" applyProtection="1">
      <alignment horizontal="center"/>
      <protection hidden="1"/>
    </xf>
    <xf numFmtId="0" fontId="5" fillId="5" borderId="9" xfId="0" applyFont="1" applyFill="1" applyBorder="1" applyAlignment="1" applyProtection="1">
      <protection hidden="1"/>
    </xf>
    <xf numFmtId="0" fontId="5" fillId="5" borderId="10" xfId="0" applyFont="1" applyFill="1" applyBorder="1" applyAlignment="1" applyProtection="1">
      <protection hidden="1"/>
    </xf>
    <xf numFmtId="0" fontId="5" fillId="3" borderId="9" xfId="0" applyFont="1" applyFill="1" applyBorder="1" applyAlignment="1" applyProtection="1">
      <protection hidden="1"/>
    </xf>
    <xf numFmtId="0" fontId="5" fillId="3" borderId="10" xfId="0" applyFont="1" applyFill="1" applyBorder="1" applyAlignment="1" applyProtection="1">
      <protection hidden="1"/>
    </xf>
    <xf numFmtId="0" fontId="6" fillId="7" borderId="9" xfId="0" applyFont="1" applyFill="1" applyBorder="1" applyAlignment="1" applyProtection="1">
      <alignment horizontal="center" vertical="center"/>
      <protection hidden="1"/>
    </xf>
    <xf numFmtId="0" fontId="6" fillId="7" borderId="13" xfId="0" applyFont="1" applyFill="1" applyBorder="1" applyAlignment="1" applyProtection="1">
      <alignment horizontal="center" vertical="center"/>
      <protection hidden="1"/>
    </xf>
    <xf numFmtId="0" fontId="5" fillId="3" borderId="9" xfId="0" applyFont="1" applyFill="1" applyBorder="1" applyAlignment="1" applyProtection="1">
      <alignment horizontal="left"/>
      <protection hidden="1"/>
    </xf>
    <xf numFmtId="0" fontId="5" fillId="3" borderId="10" xfId="0" applyFont="1" applyFill="1" applyBorder="1" applyAlignment="1" applyProtection="1">
      <alignment horizontal="left"/>
      <protection hidden="1"/>
    </xf>
    <xf numFmtId="0" fontId="5" fillId="5" borderId="9" xfId="0" applyFont="1" applyFill="1" applyBorder="1" applyAlignment="1" applyProtection="1">
      <alignment horizontal="left"/>
      <protection hidden="1"/>
    </xf>
    <xf numFmtId="0" fontId="5" fillId="5" borderId="10" xfId="0" applyFont="1" applyFill="1" applyBorder="1" applyAlignment="1" applyProtection="1">
      <alignment horizontal="left"/>
      <protection hidden="1"/>
    </xf>
    <xf numFmtId="0" fontId="17" fillId="2" borderId="0" xfId="0" applyFont="1" applyFill="1" applyBorder="1" applyAlignment="1" applyProtection="1">
      <alignment horizontal="center"/>
      <protection hidden="1"/>
    </xf>
    <xf numFmtId="0" fontId="6" fillId="7" borderId="9" xfId="0" applyFont="1" applyFill="1" applyBorder="1" applyAlignment="1" applyProtection="1">
      <alignment horizontal="center"/>
      <protection hidden="1"/>
    </xf>
    <xf numFmtId="0" fontId="6" fillId="7" borderId="13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center"/>
      <protection hidden="1"/>
    </xf>
    <xf numFmtId="0" fontId="4" fillId="4" borderId="9" xfId="0" applyFont="1" applyFill="1" applyBorder="1" applyAlignment="1" applyProtection="1">
      <alignment horizontal="center" vertical="center"/>
      <protection hidden="1"/>
    </xf>
    <xf numFmtId="0" fontId="5" fillId="4" borderId="10" xfId="0" applyFont="1" applyFill="1" applyBorder="1" applyAlignment="1" applyProtection="1">
      <alignment horizontal="center" vertical="center"/>
      <protection hidden="1"/>
    </xf>
    <xf numFmtId="0" fontId="6" fillId="7" borderId="6" xfId="0" applyFont="1" applyFill="1" applyBorder="1" applyAlignment="1" applyProtection="1">
      <alignment horizontal="center"/>
      <protection hidden="1"/>
    </xf>
    <xf numFmtId="0" fontId="6" fillId="7" borderId="7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32">
    <dxf>
      <fill>
        <patternFill patternType="lightTrellis">
          <fgColor rgb="FFFFC000"/>
        </patternFill>
      </fill>
    </dxf>
    <dxf>
      <fill>
        <patternFill>
          <bgColor rgb="FFFFC000"/>
        </patternFill>
      </fill>
    </dxf>
    <dxf>
      <fill>
        <patternFill patternType="lightTrellis">
          <fgColor rgb="FFFFC000"/>
        </patternFill>
      </fill>
    </dxf>
    <dxf>
      <font>
        <color rgb="FFFFC000"/>
      </font>
    </dxf>
    <dxf>
      <fill>
        <patternFill>
          <bgColor rgb="FFFFC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lightUp">
          <f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theme="0" tint="-0.14996795556505021"/>
      </font>
      <fill>
        <patternFill>
          <bgColor rgb="FFFF0000"/>
        </patternFill>
      </fill>
    </dxf>
    <dxf>
      <font>
        <b/>
        <i val="0"/>
        <color theme="0" tint="-0.1499679555650502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fgColor auto="1"/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00B050"/>
        </patternFill>
      </fill>
    </dxf>
    <dxf>
      <font>
        <b/>
        <i val="0"/>
        <color theme="0" tint="-0.14993743705557422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theme="0" tint="-0.14993743705557422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numFmt numFmtId="2" formatCode="0.00"/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85725</xdr:rowOff>
        </xdr:from>
        <xdr:to>
          <xdr:col>2</xdr:col>
          <xdr:colOff>1847850</xdr:colOff>
          <xdr:row>2</xdr:row>
          <xdr:rowOff>76200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188"/>
  <sheetViews>
    <sheetView tabSelected="1" workbookViewId="0">
      <pane ySplit="6" topLeftCell="A24" activePane="bottomLeft" state="frozen"/>
      <selection pane="bottomLeft" activeCell="L36" sqref="L36"/>
    </sheetView>
  </sheetViews>
  <sheetFormatPr defaultRowHeight="15" x14ac:dyDescent="0.25"/>
  <cols>
    <col min="1" max="1" width="1.5703125" customWidth="1"/>
    <col min="2" max="2" width="13.5703125" customWidth="1"/>
    <col min="3" max="3" width="68.5703125" customWidth="1"/>
    <col min="4" max="5" width="11.42578125" customWidth="1"/>
    <col min="6" max="12" width="17.140625" customWidth="1"/>
    <col min="13" max="24" width="14.28515625" customWidth="1"/>
  </cols>
  <sheetData>
    <row r="1" spans="1:26" x14ac:dyDescent="0.25">
      <c r="A1" s="3"/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0.25" x14ac:dyDescent="0.3">
      <c r="A2" s="3"/>
      <c r="B2" s="2"/>
      <c r="C2" s="153" t="s">
        <v>339</v>
      </c>
      <c r="D2" s="153"/>
      <c r="E2" s="153"/>
      <c r="F2" s="153"/>
      <c r="G2" s="153"/>
      <c r="H2" s="153"/>
      <c r="I2" s="153"/>
      <c r="J2" s="74"/>
      <c r="K2" s="74"/>
      <c r="L2" s="1"/>
      <c r="M2" s="1"/>
      <c r="N2" s="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8" x14ac:dyDescent="0.25">
      <c r="A3" s="3"/>
      <c r="B3" s="2"/>
      <c r="C3" s="156"/>
      <c r="D3" s="156"/>
      <c r="E3" s="156"/>
      <c r="F3" s="156"/>
      <c r="G3" s="156"/>
      <c r="H3" s="156"/>
      <c r="I3" s="156"/>
      <c r="J3" s="156"/>
      <c r="K3" s="156"/>
      <c r="L3" s="47"/>
      <c r="M3" s="47"/>
      <c r="N3" s="47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 x14ac:dyDescent="0.25">
      <c r="A4" s="3"/>
      <c r="B4" s="2"/>
      <c r="C4" s="2"/>
      <c r="D4" s="2"/>
      <c r="E4" s="1"/>
      <c r="F4" s="2"/>
      <c r="G4" s="2"/>
      <c r="H4" s="2"/>
      <c r="I4" s="2"/>
      <c r="J4" s="2"/>
      <c r="K4" s="114" t="s">
        <v>0</v>
      </c>
      <c r="L4" s="115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x14ac:dyDescent="0.25">
      <c r="A5" s="3"/>
      <c r="B5" s="4"/>
      <c r="C5" s="4" t="s">
        <v>338</v>
      </c>
      <c r="D5" s="4"/>
      <c r="E5" s="1"/>
      <c r="F5" s="4"/>
      <c r="G5" s="4"/>
      <c r="H5" s="4"/>
      <c r="I5" s="4"/>
      <c r="J5" s="4"/>
      <c r="K5" s="116"/>
      <c r="L5" s="117"/>
      <c r="M5" s="1"/>
      <c r="N5" s="1"/>
      <c r="O5" s="1"/>
      <c r="P5" s="1"/>
      <c r="Q5" s="1"/>
      <c r="R5" s="1"/>
      <c r="S5" s="1"/>
      <c r="T5" s="1"/>
      <c r="U5" s="1"/>
      <c r="V5" s="1"/>
      <c r="W5" s="3"/>
      <c r="X5" s="3"/>
      <c r="Y5" s="3"/>
      <c r="Z5" s="3"/>
    </row>
    <row r="6" spans="1:26" ht="51" x14ac:dyDescent="0.25">
      <c r="A6" s="3"/>
      <c r="B6" s="157" t="s">
        <v>340</v>
      </c>
      <c r="C6" s="158"/>
      <c r="D6" s="5" t="s">
        <v>1</v>
      </c>
      <c r="E6" s="124" t="s">
        <v>481</v>
      </c>
      <c r="F6" s="5" t="s">
        <v>33</v>
      </c>
      <c r="G6" s="5" t="s">
        <v>34</v>
      </c>
      <c r="H6" s="5" t="s">
        <v>2</v>
      </c>
      <c r="I6" s="5" t="s">
        <v>37</v>
      </c>
      <c r="J6" s="6" t="s">
        <v>35</v>
      </c>
      <c r="K6" s="7" t="s">
        <v>36</v>
      </c>
      <c r="L6" s="27" t="s">
        <v>426</v>
      </c>
      <c r="M6" s="1"/>
      <c r="N6" s="1"/>
      <c r="O6" s="1"/>
      <c r="P6" s="1"/>
      <c r="Q6" s="1"/>
      <c r="R6" s="1"/>
      <c r="S6" s="1"/>
      <c r="T6" s="1"/>
      <c r="U6" s="1"/>
      <c r="V6" s="1"/>
      <c r="W6" s="44"/>
      <c r="X6" s="3"/>
      <c r="Y6" s="3"/>
      <c r="Z6" s="3"/>
    </row>
    <row r="7" spans="1:26" ht="15.75" x14ac:dyDescent="0.25">
      <c r="A7" s="3"/>
      <c r="B7" s="147" t="s">
        <v>465</v>
      </c>
      <c r="C7" s="148"/>
      <c r="D7" s="148"/>
      <c r="E7" s="148"/>
      <c r="F7" s="148"/>
      <c r="G7" s="148"/>
      <c r="H7" s="148"/>
      <c r="I7" s="148"/>
      <c r="J7" s="128"/>
      <c r="K7" s="128"/>
      <c r="L7" s="129"/>
      <c r="M7" s="1"/>
      <c r="N7" s="1"/>
      <c r="O7" s="1"/>
      <c r="P7" s="1"/>
      <c r="Q7" s="1"/>
      <c r="R7" s="1"/>
      <c r="S7" s="1"/>
      <c r="T7" s="1"/>
      <c r="U7" s="1"/>
      <c r="V7" s="1"/>
      <c r="W7" s="3"/>
      <c r="X7" s="3"/>
      <c r="Y7" s="3"/>
      <c r="Z7" s="3"/>
    </row>
    <row r="8" spans="1:26" x14ac:dyDescent="0.25">
      <c r="A8" s="3"/>
      <c r="B8" s="145" t="s">
        <v>3</v>
      </c>
      <c r="C8" s="146"/>
      <c r="D8" s="37">
        <v>0</v>
      </c>
      <c r="E8" s="132">
        <f>MAX(0,MIN(Данные!O8,Данные!P8,Данные!Q8))+D8</f>
        <v>159</v>
      </c>
      <c r="F8" s="8">
        <f>Данные!E8*Данные!$D$66</f>
        <v>0.28499999999999998</v>
      </c>
      <c r="G8" s="8">
        <f>Данные!F8*Данные!$D$66</f>
        <v>3.3249999999999997</v>
      </c>
      <c r="H8" s="9">
        <f t="shared" ref="H8:H17" si="0">D8*F8</f>
        <v>0</v>
      </c>
      <c r="I8" s="8">
        <f>IF(D8&gt;Данные!$D$71-Данные!K8,Данные!$D$71-Данные!K8,D8)</f>
        <v>0</v>
      </c>
      <c r="J8" s="9">
        <f t="shared" ref="J8:J22" si="1">I8*G8</f>
        <v>0</v>
      </c>
      <c r="K8" s="10" t="str">
        <f>Данные!D116</f>
        <v>НЕТ</v>
      </c>
      <c r="L8" s="18"/>
      <c r="M8" s="1"/>
      <c r="N8" s="1"/>
      <c r="O8" s="1"/>
      <c r="P8" s="1"/>
      <c r="Q8" s="1"/>
      <c r="R8" s="1"/>
      <c r="S8" s="1"/>
      <c r="T8" s="1"/>
      <c r="U8" s="1"/>
      <c r="V8" s="1"/>
      <c r="W8" s="45"/>
      <c r="X8" s="3"/>
      <c r="Y8" s="3"/>
      <c r="Z8" s="3"/>
    </row>
    <row r="9" spans="1:26" x14ac:dyDescent="0.25">
      <c r="A9" s="3"/>
      <c r="B9" s="143" t="s">
        <v>4</v>
      </c>
      <c r="C9" s="144"/>
      <c r="D9" s="37">
        <v>0</v>
      </c>
      <c r="E9" s="133">
        <f>MAX(0,MIN(Данные!O9,Данные!P9,Данные!Q9))+D9</f>
        <v>159</v>
      </c>
      <c r="F9" s="11">
        <f>(Данные!E9+Данные!G9)*Данные!$D$66</f>
        <v>0.33249999999999996</v>
      </c>
      <c r="G9" s="11">
        <f>Данные!F9*Данные!$D$66</f>
        <v>3.3249999999999997</v>
      </c>
      <c r="H9" s="12">
        <f t="shared" si="0"/>
        <v>0</v>
      </c>
      <c r="I9" s="11">
        <f>IF(D9&gt;Данные!$D$71-Данные!K9,Данные!$D$71-Данные!K9,D9)</f>
        <v>0</v>
      </c>
      <c r="J9" s="12">
        <f t="shared" si="1"/>
        <v>0</v>
      </c>
      <c r="K9" s="13">
        <f>D9</f>
        <v>0</v>
      </c>
      <c r="L9" s="19"/>
      <c r="M9" s="1"/>
      <c r="N9" s="1"/>
      <c r="O9" s="1"/>
      <c r="P9" s="1"/>
      <c r="Q9" s="1"/>
      <c r="R9" s="1"/>
      <c r="S9" s="1"/>
      <c r="T9" s="1"/>
      <c r="U9" s="1"/>
      <c r="V9" s="1"/>
      <c r="W9" s="45"/>
      <c r="X9" s="3"/>
      <c r="Y9" s="3"/>
      <c r="Z9" s="3"/>
    </row>
    <row r="10" spans="1:26" x14ac:dyDescent="0.25">
      <c r="A10" s="3"/>
      <c r="B10" s="145" t="s">
        <v>5</v>
      </c>
      <c r="C10" s="146"/>
      <c r="D10" s="37">
        <v>0</v>
      </c>
      <c r="E10" s="132">
        <f>MAX(0,MIN(Данные!O10,Данные!P10,Данные!Q10))+D10</f>
        <v>159</v>
      </c>
      <c r="F10" s="8">
        <f>Данные!E10*Данные!$D$66</f>
        <v>0.28499999999999998</v>
      </c>
      <c r="G10" s="8">
        <f>Данные!F10*Данные!$D$66</f>
        <v>3.3249999999999997</v>
      </c>
      <c r="H10" s="9">
        <f t="shared" si="0"/>
        <v>0</v>
      </c>
      <c r="I10" s="8">
        <f>IF(D10&gt;Данные!$D$71-Данные!K10,Данные!$D$71-Данные!K10,D10)</f>
        <v>0</v>
      </c>
      <c r="J10" s="9">
        <f t="shared" si="1"/>
        <v>0</v>
      </c>
      <c r="K10" s="10" t="str">
        <f>Данные!D116</f>
        <v>НЕТ</v>
      </c>
      <c r="L10" s="19"/>
      <c r="M10" s="1"/>
      <c r="N10" s="1"/>
      <c r="O10" s="1"/>
      <c r="P10" s="1"/>
      <c r="Q10" s="1"/>
      <c r="R10" s="1"/>
      <c r="S10" s="1"/>
      <c r="T10" s="1"/>
      <c r="U10" s="1"/>
      <c r="V10" s="1"/>
      <c r="W10" s="45"/>
      <c r="X10" s="3"/>
      <c r="Y10" s="3"/>
      <c r="Z10" s="3"/>
    </row>
    <row r="11" spans="1:26" x14ac:dyDescent="0.25">
      <c r="A11" s="3"/>
      <c r="B11" s="143" t="s">
        <v>6</v>
      </c>
      <c r="C11" s="144"/>
      <c r="D11" s="37">
        <v>0</v>
      </c>
      <c r="E11" s="133">
        <f>MAX(0,MIN(Данные!O11,Данные!P11,Данные!Q11))+D11</f>
        <v>159</v>
      </c>
      <c r="F11" s="11">
        <f>(Данные!E11+Данные!G11)*Данные!$D$66</f>
        <v>0.33249999999999996</v>
      </c>
      <c r="G11" s="11">
        <f>Данные!F11*Данные!$D$66</f>
        <v>3.3249999999999997</v>
      </c>
      <c r="H11" s="12">
        <f t="shared" si="0"/>
        <v>0</v>
      </c>
      <c r="I11" s="11">
        <f>IF(D11&gt;Данные!$D$71-Данные!K11,Данные!$D$71-Данные!K11,D11)</f>
        <v>0</v>
      </c>
      <c r="J11" s="12">
        <f t="shared" si="1"/>
        <v>0</v>
      </c>
      <c r="K11" s="13">
        <f>D11</f>
        <v>0</v>
      </c>
      <c r="L11" s="19"/>
      <c r="M11" s="1"/>
      <c r="N11" s="1"/>
      <c r="O11" s="1"/>
      <c r="P11" s="1"/>
      <c r="Q11" s="1"/>
      <c r="R11" s="1"/>
      <c r="S11" s="1"/>
      <c r="T11" s="1"/>
      <c r="U11" s="1"/>
      <c r="V11" s="1"/>
      <c r="W11" s="45"/>
      <c r="X11" s="3"/>
      <c r="Y11" s="3"/>
      <c r="Z11" s="3"/>
    </row>
    <row r="12" spans="1:26" x14ac:dyDescent="0.25">
      <c r="A12" s="3"/>
      <c r="B12" s="145" t="s">
        <v>7</v>
      </c>
      <c r="C12" s="146"/>
      <c r="D12" s="37">
        <v>0</v>
      </c>
      <c r="E12" s="132">
        <f>MAX(0,MIN(Данные!O12,Данные!P12,Данные!Q12))+D12</f>
        <v>159</v>
      </c>
      <c r="F12" s="8">
        <f>Данные!E12*Данные!$D$66</f>
        <v>0.28499999999999998</v>
      </c>
      <c r="G12" s="8">
        <f>Данные!F12*Данные!$D$66</f>
        <v>3.3249999999999997</v>
      </c>
      <c r="H12" s="9">
        <f t="shared" si="0"/>
        <v>0</v>
      </c>
      <c r="I12" s="8">
        <f>IF(D12&gt;Данные!$D$71-Данные!K12,Данные!$D$71-Данные!K12,D12)</f>
        <v>0</v>
      </c>
      <c r="J12" s="9">
        <f t="shared" si="1"/>
        <v>0</v>
      </c>
      <c r="K12" s="10" t="str">
        <f>Данные!D116</f>
        <v>НЕТ</v>
      </c>
      <c r="L12" s="19"/>
      <c r="M12" s="1"/>
      <c r="N12" s="1"/>
      <c r="O12" s="1"/>
      <c r="P12" s="1"/>
      <c r="Q12" s="1"/>
      <c r="R12" s="1"/>
      <c r="S12" s="1"/>
      <c r="T12" s="1"/>
      <c r="U12" s="1"/>
      <c r="V12" s="1"/>
      <c r="W12" s="45"/>
      <c r="X12" s="3"/>
      <c r="Y12" s="3"/>
      <c r="Z12" s="3"/>
    </row>
    <row r="13" spans="1:26" x14ac:dyDescent="0.25">
      <c r="A13" s="3"/>
      <c r="B13" s="143" t="s">
        <v>8</v>
      </c>
      <c r="C13" s="144"/>
      <c r="D13" s="37">
        <v>0</v>
      </c>
      <c r="E13" s="133">
        <f>MAX(0,MIN(Данные!O13,Данные!P13,Данные!Q13))+D13</f>
        <v>159</v>
      </c>
      <c r="F13" s="11">
        <f>(Данные!E13+Данные!G13)*Данные!$D$66</f>
        <v>0.33249999999999996</v>
      </c>
      <c r="G13" s="11">
        <f>Данные!F13*Данные!$D$66</f>
        <v>3.3249999999999997</v>
      </c>
      <c r="H13" s="12">
        <f t="shared" si="0"/>
        <v>0</v>
      </c>
      <c r="I13" s="11">
        <f>IF(D13&gt;Данные!$D$71-Данные!K13,Данные!$D$71-Данные!K13,D13)</f>
        <v>0</v>
      </c>
      <c r="J13" s="12">
        <f t="shared" si="1"/>
        <v>0</v>
      </c>
      <c r="K13" s="13">
        <f>D13</f>
        <v>0</v>
      </c>
      <c r="L13" s="19"/>
      <c r="M13" s="1"/>
      <c r="N13" s="1"/>
      <c r="O13" s="1"/>
      <c r="P13" s="1"/>
      <c r="Q13" s="1"/>
      <c r="R13" s="1"/>
      <c r="S13" s="1"/>
      <c r="T13" s="1"/>
      <c r="U13" s="1"/>
      <c r="V13" s="1"/>
      <c r="W13" s="45"/>
      <c r="X13" s="3"/>
      <c r="Y13" s="3"/>
      <c r="Z13" s="3"/>
    </row>
    <row r="14" spans="1:26" x14ac:dyDescent="0.25">
      <c r="A14" s="3"/>
      <c r="B14" s="145" t="s">
        <v>9</v>
      </c>
      <c r="C14" s="146"/>
      <c r="D14" s="37">
        <v>0</v>
      </c>
      <c r="E14" s="132">
        <f>MAX(0,MIN(Данные!O14,Данные!P14,Данные!Q14))+D14</f>
        <v>159</v>
      </c>
      <c r="F14" s="8">
        <f>Данные!E14*Данные!$D$66</f>
        <v>0.28499999999999998</v>
      </c>
      <c r="G14" s="8">
        <f>Данные!F14*Данные!$D$66</f>
        <v>3.3249999999999997</v>
      </c>
      <c r="H14" s="9">
        <f t="shared" si="0"/>
        <v>0</v>
      </c>
      <c r="I14" s="8">
        <f>IF(D14&gt;Данные!$D$71-Данные!K14,Данные!$D$71-Данные!K14,D14)</f>
        <v>0</v>
      </c>
      <c r="J14" s="9">
        <f t="shared" si="1"/>
        <v>0</v>
      </c>
      <c r="K14" s="10" t="str">
        <f>Данные!D116</f>
        <v>НЕТ</v>
      </c>
      <c r="L14" s="19"/>
      <c r="M14" s="1"/>
      <c r="N14" s="1"/>
      <c r="O14" s="1"/>
      <c r="P14" s="1"/>
      <c r="Q14" s="1"/>
      <c r="R14" s="1"/>
      <c r="S14" s="1"/>
      <c r="T14" s="1"/>
      <c r="U14" s="1"/>
      <c r="V14" s="1"/>
      <c r="W14" s="45"/>
      <c r="X14" s="3"/>
      <c r="Y14" s="3"/>
      <c r="Z14" s="3"/>
    </row>
    <row r="15" spans="1:26" x14ac:dyDescent="0.25">
      <c r="A15" s="3"/>
      <c r="B15" s="143" t="s">
        <v>10</v>
      </c>
      <c r="C15" s="144"/>
      <c r="D15" s="37">
        <v>0</v>
      </c>
      <c r="E15" s="133">
        <f>MAX(0,MIN(Данные!O15,Данные!P15,Данные!Q15))+D15</f>
        <v>159</v>
      </c>
      <c r="F15" s="11">
        <f>(Данные!E15+Данные!G15)*Данные!$D$66</f>
        <v>0.33249999999999996</v>
      </c>
      <c r="G15" s="11">
        <f>Данные!F15*Данные!$D$66</f>
        <v>3.3249999999999997</v>
      </c>
      <c r="H15" s="12">
        <f t="shared" si="0"/>
        <v>0</v>
      </c>
      <c r="I15" s="11">
        <f>IF(D15&gt;Данные!$D$71-Данные!K15,Данные!$D$71-Данные!K15,D15)</f>
        <v>0</v>
      </c>
      <c r="J15" s="12">
        <f t="shared" si="1"/>
        <v>0</v>
      </c>
      <c r="K15" s="13">
        <f>D15</f>
        <v>0</v>
      </c>
      <c r="L15" s="19"/>
      <c r="M15" s="1"/>
      <c r="N15" s="1"/>
      <c r="O15" s="1"/>
      <c r="P15" s="1"/>
      <c r="Q15" s="1"/>
      <c r="R15" s="1"/>
      <c r="S15" s="1"/>
      <c r="T15" s="1"/>
      <c r="U15" s="1"/>
      <c r="V15" s="1"/>
      <c r="W15" s="45"/>
      <c r="X15" s="3"/>
      <c r="Y15" s="3"/>
      <c r="Z15" s="3"/>
    </row>
    <row r="16" spans="1:26" x14ac:dyDescent="0.25">
      <c r="A16" s="3"/>
      <c r="B16" s="145" t="s">
        <v>11</v>
      </c>
      <c r="C16" s="146"/>
      <c r="D16" s="37">
        <v>0</v>
      </c>
      <c r="E16" s="132">
        <f>MAX(0,MIN(Данные!O16,Данные!P16,Данные!Q16))+D16</f>
        <v>159</v>
      </c>
      <c r="F16" s="8">
        <f>Данные!E16*Данные!$D$66</f>
        <v>0.28499999999999998</v>
      </c>
      <c r="G16" s="8">
        <f>Данные!F16*Данные!$D$66</f>
        <v>3.3249999999999997</v>
      </c>
      <c r="H16" s="9">
        <f t="shared" si="0"/>
        <v>0</v>
      </c>
      <c r="I16" s="8">
        <f>IF(D16&gt;Данные!$D$71-Данные!K16,Данные!$D$71-Данные!K16,D16)</f>
        <v>0</v>
      </c>
      <c r="J16" s="9">
        <f t="shared" si="1"/>
        <v>0</v>
      </c>
      <c r="K16" s="10" t="str">
        <f>Данные!D116</f>
        <v>НЕТ</v>
      </c>
      <c r="L16" s="19"/>
      <c r="M16" s="1"/>
      <c r="N16" s="1"/>
      <c r="O16" s="1"/>
      <c r="P16" s="1"/>
      <c r="Q16" s="1"/>
      <c r="R16" s="1"/>
      <c r="S16" s="1"/>
      <c r="T16" s="1"/>
      <c r="U16" s="1"/>
      <c r="V16" s="1"/>
      <c r="W16" s="45"/>
      <c r="X16" s="3"/>
      <c r="Y16" s="3"/>
      <c r="Z16" s="3"/>
    </row>
    <row r="17" spans="1:26" x14ac:dyDescent="0.25">
      <c r="A17" s="3"/>
      <c r="B17" s="143" t="s">
        <v>12</v>
      </c>
      <c r="C17" s="144"/>
      <c r="D17" s="37">
        <v>0</v>
      </c>
      <c r="E17" s="133">
        <f>MAX(0,MIN(Данные!O17,Данные!P17,Данные!Q17))+D17</f>
        <v>159</v>
      </c>
      <c r="F17" s="11">
        <f>(Данные!E17+Данные!G17)*Данные!$D$66</f>
        <v>0.33249999999999996</v>
      </c>
      <c r="G17" s="11">
        <f>Данные!F17*Данные!$D$66</f>
        <v>3.3249999999999997</v>
      </c>
      <c r="H17" s="12">
        <f t="shared" si="0"/>
        <v>0</v>
      </c>
      <c r="I17" s="11">
        <f>IF(D17&gt;Данные!$D$71-Данные!K17,Данные!$D$71-Данные!K17,D17)</f>
        <v>0</v>
      </c>
      <c r="J17" s="12">
        <f t="shared" si="1"/>
        <v>0</v>
      </c>
      <c r="K17" s="13">
        <f>D17</f>
        <v>0</v>
      </c>
      <c r="L17" s="19"/>
      <c r="M17" s="1"/>
      <c r="N17" s="1"/>
      <c r="O17" s="1"/>
      <c r="P17" s="1"/>
      <c r="Q17" s="1"/>
      <c r="R17" s="1"/>
      <c r="S17" s="1"/>
      <c r="T17" s="1"/>
      <c r="U17" s="1"/>
      <c r="V17" s="1"/>
      <c r="W17" s="45"/>
      <c r="X17" s="3"/>
      <c r="Y17" s="3"/>
      <c r="Z17" s="3"/>
    </row>
    <row r="18" spans="1:26" x14ac:dyDescent="0.25">
      <c r="A18" s="3"/>
      <c r="B18" s="145" t="s">
        <v>13</v>
      </c>
      <c r="C18" s="146"/>
      <c r="D18" s="37">
        <v>0</v>
      </c>
      <c r="E18" s="132">
        <f>MAX(0,MIN(Данные!O18,Данные!P18,Данные!Q18))+D18</f>
        <v>100</v>
      </c>
      <c r="F18" s="8">
        <f>Данные!E18*Данные!$D$66</f>
        <v>1.9</v>
      </c>
      <c r="G18" s="8">
        <f>Данные!F18*Данные!$D$66</f>
        <v>6.1749999999999998</v>
      </c>
      <c r="H18" s="9">
        <f>F18*D18+Данные!G18*Данные!I18</f>
        <v>0</v>
      </c>
      <c r="I18" s="8">
        <f>IF(D18&gt;Данные!$D$71-Данные!K18,Данные!$D$71-Данные!K18,D18)</f>
        <v>0</v>
      </c>
      <c r="J18" s="9">
        <f t="shared" si="1"/>
        <v>0</v>
      </c>
      <c r="K18" s="39">
        <v>0</v>
      </c>
      <c r="L18" s="19"/>
      <c r="M18" s="1"/>
      <c r="N18" s="1"/>
      <c r="O18" s="1"/>
      <c r="P18" s="1"/>
      <c r="Q18" s="1"/>
      <c r="R18" s="1"/>
      <c r="S18" s="1"/>
      <c r="T18" s="1"/>
      <c r="U18" s="1"/>
      <c r="V18" s="1"/>
      <c r="W18" s="45"/>
      <c r="X18" s="3"/>
      <c r="Y18" s="3"/>
      <c r="Z18" s="3"/>
    </row>
    <row r="19" spans="1:26" x14ac:dyDescent="0.25">
      <c r="A19" s="3"/>
      <c r="B19" s="143" t="s">
        <v>14</v>
      </c>
      <c r="C19" s="144"/>
      <c r="D19" s="37">
        <v>0</v>
      </c>
      <c r="E19" s="133">
        <f>MAX(0,MIN(Данные!O19,Данные!P19,Данные!Q19))+D19</f>
        <v>0</v>
      </c>
      <c r="F19" s="11">
        <f>Данные!E19*Данные!$D$66</f>
        <v>0.3135</v>
      </c>
      <c r="G19" s="11">
        <f>Данные!F19*Данные!$D$66</f>
        <v>3.04</v>
      </c>
      <c r="H19" s="12">
        <f>D19*F19</f>
        <v>0</v>
      </c>
      <c r="I19" s="11">
        <f>D19</f>
        <v>0</v>
      </c>
      <c r="J19" s="12">
        <f t="shared" si="1"/>
        <v>0</v>
      </c>
      <c r="K19" s="13" t="str">
        <f>Данные!D116</f>
        <v>НЕТ</v>
      </c>
      <c r="L19" s="19"/>
      <c r="M19" s="1"/>
      <c r="N19" s="1"/>
      <c r="O19" s="1"/>
      <c r="P19" s="1"/>
      <c r="Q19" s="1"/>
      <c r="R19" s="1"/>
      <c r="S19" s="1"/>
      <c r="T19" s="1"/>
      <c r="U19" s="1"/>
      <c r="V19" s="1"/>
      <c r="W19" s="45"/>
      <c r="X19" s="3"/>
      <c r="Y19" s="3"/>
      <c r="Z19" s="3"/>
    </row>
    <row r="20" spans="1:26" x14ac:dyDescent="0.25">
      <c r="A20" s="3"/>
      <c r="B20" s="145" t="s">
        <v>15</v>
      </c>
      <c r="C20" s="146"/>
      <c r="D20" s="37">
        <v>0</v>
      </c>
      <c r="E20" s="132">
        <f>MAX(0,MIN(Данные!O20,Данные!P20,Данные!Q20))+D20</f>
        <v>99</v>
      </c>
      <c r="F20" s="8">
        <f>Данные!E20*Данные!$D$66</f>
        <v>0.437</v>
      </c>
      <c r="G20" s="8">
        <f>Данные!F20*Данные!$D$66</f>
        <v>0</v>
      </c>
      <c r="H20" s="9">
        <f>F20*D20+Данные!G20*Данные!I20</f>
        <v>0</v>
      </c>
      <c r="I20" s="8">
        <v>0</v>
      </c>
      <c r="J20" s="9">
        <f t="shared" si="1"/>
        <v>0</v>
      </c>
      <c r="K20" s="40">
        <v>0</v>
      </c>
      <c r="L20" s="19"/>
      <c r="M20" s="1"/>
      <c r="N20" s="1"/>
      <c r="O20" s="1"/>
      <c r="P20" s="1"/>
      <c r="Q20" s="1"/>
      <c r="R20" s="1"/>
      <c r="S20" s="1"/>
      <c r="T20" s="1"/>
      <c r="U20" s="1"/>
      <c r="V20" s="1"/>
      <c r="W20" s="45"/>
      <c r="X20" s="3"/>
      <c r="Y20" s="3"/>
      <c r="Z20" s="3"/>
    </row>
    <row r="21" spans="1:26" x14ac:dyDescent="0.25">
      <c r="A21" s="3"/>
      <c r="B21" s="143" t="s">
        <v>16</v>
      </c>
      <c r="C21" s="144"/>
      <c r="D21" s="37">
        <v>0</v>
      </c>
      <c r="E21" s="133">
        <f>MAX(0,MIN(Данные!O21,Данные!P21,Данные!Q21))+D21</f>
        <v>49</v>
      </c>
      <c r="F21" s="11">
        <f>Данные!E21*Данные!$D$66</f>
        <v>0.66499999999999992</v>
      </c>
      <c r="G21" s="11">
        <f>Данные!F21*Данные!$D$66</f>
        <v>0</v>
      </c>
      <c r="H21" s="12">
        <f>F21*D21+Данные!G21*Данные!I21</f>
        <v>0</v>
      </c>
      <c r="I21" s="11">
        <v>0</v>
      </c>
      <c r="J21" s="12">
        <f t="shared" si="1"/>
        <v>0</v>
      </c>
      <c r="K21" s="40">
        <v>0</v>
      </c>
      <c r="L21" s="19"/>
      <c r="M21" s="1"/>
      <c r="N21" s="1"/>
      <c r="O21" s="1"/>
      <c r="P21" s="1"/>
      <c r="Q21" s="1"/>
      <c r="R21" s="1"/>
      <c r="S21" s="1"/>
      <c r="T21" s="1"/>
      <c r="U21" s="1"/>
      <c r="V21" s="1"/>
      <c r="W21" s="45"/>
      <c r="X21" s="3"/>
      <c r="Y21" s="3"/>
      <c r="Z21" s="3"/>
    </row>
    <row r="22" spans="1:26" x14ac:dyDescent="0.25">
      <c r="A22" s="3"/>
      <c r="B22" s="145" t="s">
        <v>17</v>
      </c>
      <c r="C22" s="146"/>
      <c r="D22" s="37">
        <v>0</v>
      </c>
      <c r="E22" s="132">
        <f>MAX(0,MIN(Данные!O22,Данные!P22,Данные!Q22))+D22</f>
        <v>49</v>
      </c>
      <c r="F22" s="8">
        <f>Данные!E22*Данные!$D$66</f>
        <v>0.66499999999999992</v>
      </c>
      <c r="G22" s="8">
        <f>Данные!F22*Данные!$D$66</f>
        <v>0</v>
      </c>
      <c r="H22" s="9">
        <f>F22*D22+Данные!G22*Данные!I22</f>
        <v>0</v>
      </c>
      <c r="I22" s="8">
        <v>0</v>
      </c>
      <c r="J22" s="9">
        <f t="shared" si="1"/>
        <v>0</v>
      </c>
      <c r="K22" s="41">
        <v>0</v>
      </c>
      <c r="L22" s="19"/>
      <c r="M22" s="1"/>
      <c r="N22" s="1"/>
      <c r="O22" s="1"/>
      <c r="P22" s="1"/>
      <c r="Q22" s="1"/>
      <c r="R22" s="1"/>
      <c r="S22" s="1"/>
      <c r="T22" s="1"/>
      <c r="U22" s="1"/>
      <c r="V22" s="1"/>
      <c r="W22" s="45"/>
      <c r="X22" s="3"/>
      <c r="Y22" s="3"/>
      <c r="Z22" s="3"/>
    </row>
    <row r="23" spans="1:26" ht="15.75" x14ac:dyDescent="0.25">
      <c r="A23" s="3"/>
      <c r="B23" s="159" t="s">
        <v>18</v>
      </c>
      <c r="C23" s="160"/>
      <c r="D23" s="160"/>
      <c r="E23" s="160"/>
      <c r="F23" s="160"/>
      <c r="G23" s="160"/>
      <c r="H23" s="160"/>
      <c r="I23" s="160"/>
      <c r="J23" s="28"/>
      <c r="K23" s="130"/>
      <c r="L23" s="20"/>
      <c r="M23" s="1"/>
      <c r="N23" s="1"/>
      <c r="O23" s="1"/>
      <c r="P23" s="1"/>
      <c r="Q23" s="1"/>
      <c r="R23" s="1"/>
      <c r="S23" s="1"/>
      <c r="T23" s="1"/>
      <c r="U23" s="1"/>
      <c r="V23" s="1"/>
      <c r="W23" s="45"/>
      <c r="X23" s="3"/>
      <c r="Y23" s="3"/>
      <c r="Z23" s="3"/>
    </row>
    <row r="24" spans="1:26" x14ac:dyDescent="0.25">
      <c r="A24" s="3"/>
      <c r="B24" s="143" t="s">
        <v>19</v>
      </c>
      <c r="C24" s="144"/>
      <c r="D24" s="37">
        <v>0</v>
      </c>
      <c r="E24" s="133">
        <f>MAX(0,MIN(Данные!O24,Данные!P24,Данные!Q24))+D24</f>
        <v>159</v>
      </c>
      <c r="F24" s="11">
        <f>(Данные!E24+Данные!G24)*Данные!$D$66</f>
        <v>0.67449999999999999</v>
      </c>
      <c r="G24" s="11">
        <f>Данные!F24*Данные!$D$66</f>
        <v>1.71</v>
      </c>
      <c r="H24" s="12">
        <f t="shared" ref="H24:H25" si="2">D24*F24</f>
        <v>0</v>
      </c>
      <c r="I24" s="11">
        <f>IF(D24&gt;Данные!$D$71-Данные!K24,Данные!$D$71-Данные!K24,D24)</f>
        <v>0</v>
      </c>
      <c r="J24" s="12">
        <f t="shared" ref="J24:J25" si="3">I24*G24</f>
        <v>0</v>
      </c>
      <c r="K24" s="13">
        <f>D24</f>
        <v>0</v>
      </c>
      <c r="L24" s="19"/>
      <c r="M24" s="1"/>
      <c r="N24" s="1"/>
      <c r="O24" s="1"/>
      <c r="P24" s="1"/>
      <c r="Q24" s="1"/>
      <c r="R24" s="1"/>
      <c r="S24" s="1"/>
      <c r="T24" s="1"/>
      <c r="U24" s="1"/>
      <c r="V24" s="1"/>
      <c r="W24" s="45"/>
      <c r="X24" s="3"/>
      <c r="Y24" s="3"/>
      <c r="Z24" s="3"/>
    </row>
    <row r="25" spans="1:26" x14ac:dyDescent="0.25">
      <c r="A25" s="3"/>
      <c r="B25" s="145" t="s">
        <v>20</v>
      </c>
      <c r="C25" s="146"/>
      <c r="D25" s="37">
        <v>0</v>
      </c>
      <c r="E25" s="132">
        <f>MAX(0,MIN(Данные!O25,Данные!P25,Данные!Q25))+D25</f>
        <v>159</v>
      </c>
      <c r="F25" s="8">
        <f>(Данные!E25+Данные!G25)*Данные!$D$66</f>
        <v>0.67449999999999999</v>
      </c>
      <c r="G25" s="8">
        <f>Данные!F25*Данные!$D$66</f>
        <v>1.71</v>
      </c>
      <c r="H25" s="9">
        <f t="shared" si="2"/>
        <v>0</v>
      </c>
      <c r="I25" s="8">
        <f>IF(D25&gt;Данные!$D$71-Данные!K25,Данные!$D$71-Данные!K25,D25)</f>
        <v>0</v>
      </c>
      <c r="J25" s="9">
        <f t="shared" si="3"/>
        <v>0</v>
      </c>
      <c r="K25" s="14">
        <f>D25</f>
        <v>0</v>
      </c>
      <c r="L25" s="19"/>
      <c r="M25" s="1"/>
      <c r="N25" s="1"/>
      <c r="O25" s="1"/>
      <c r="P25" s="1"/>
      <c r="Q25" s="1"/>
      <c r="R25" s="1"/>
      <c r="S25" s="1"/>
      <c r="T25" s="1"/>
      <c r="U25" s="1"/>
      <c r="V25" s="1"/>
      <c r="W25" s="45"/>
      <c r="X25" s="3"/>
      <c r="Y25" s="3"/>
      <c r="Z25" s="3"/>
    </row>
    <row r="26" spans="1:26" x14ac:dyDescent="0.25">
      <c r="A26" s="3"/>
      <c r="B26" s="143" t="s">
        <v>21</v>
      </c>
      <c r="C26" s="144"/>
      <c r="D26" s="37">
        <v>0</v>
      </c>
      <c r="E26" s="133">
        <f>MAX(0,MIN(Данные!O26,Данные!P26,Данные!Q26))+D26</f>
        <v>159</v>
      </c>
      <c r="F26" s="11">
        <f>(Данные!E26+Данные!G26)*Данные!$D$66</f>
        <v>0.67449999999999999</v>
      </c>
      <c r="G26" s="11">
        <f>Данные!F26*Данные!$D$66</f>
        <v>1.71</v>
      </c>
      <c r="H26" s="12">
        <f>D26*F26</f>
        <v>0</v>
      </c>
      <c r="I26" s="11">
        <f>IF(D26&gt;Данные!$D$71-Данные!K26,Данные!$D$71-Данные!K26,D26)</f>
        <v>0</v>
      </c>
      <c r="J26" s="12">
        <f t="shared" ref="J26:J32" si="4">I26*G26</f>
        <v>0</v>
      </c>
      <c r="K26" s="13">
        <f>D26</f>
        <v>0</v>
      </c>
      <c r="L26" s="19"/>
      <c r="M26" s="1"/>
      <c r="N26" s="1"/>
      <c r="O26" s="1"/>
      <c r="P26" s="1"/>
      <c r="Q26" s="1"/>
      <c r="R26" s="1"/>
      <c r="S26" s="1"/>
      <c r="T26" s="1"/>
      <c r="U26" s="1"/>
      <c r="V26" s="1"/>
      <c r="W26" s="45"/>
      <c r="X26" s="3"/>
      <c r="Y26" s="3"/>
      <c r="Z26" s="3"/>
    </row>
    <row r="27" spans="1:26" x14ac:dyDescent="0.25">
      <c r="A27" s="3"/>
      <c r="B27" s="145" t="s">
        <v>22</v>
      </c>
      <c r="C27" s="146"/>
      <c r="D27" s="37">
        <v>0</v>
      </c>
      <c r="E27" s="132">
        <f>MAX(0,MIN(Данные!O27,Данные!P27,Данные!Q27))+D27</f>
        <v>159</v>
      </c>
      <c r="F27" s="8">
        <f>Данные!E27*Данные!$D$66</f>
        <v>0.43224999999999997</v>
      </c>
      <c r="G27" s="8">
        <f>Данные!F27*Данные!$D$66</f>
        <v>1.9</v>
      </c>
      <c r="H27" s="9">
        <f>F27*D27+Данные!G27*Данные!I27</f>
        <v>0</v>
      </c>
      <c r="I27" s="8">
        <f>IF(D27&gt;Данные!$D$71-Данные!K27,Данные!$D$71-Данные!K27,D27)</f>
        <v>0</v>
      </c>
      <c r="J27" s="9">
        <f t="shared" si="4"/>
        <v>0</v>
      </c>
      <c r="K27" s="40">
        <v>0</v>
      </c>
      <c r="L27" s="19"/>
      <c r="M27" s="1"/>
      <c r="N27" s="1"/>
      <c r="O27" s="1"/>
      <c r="P27" s="1"/>
      <c r="Q27" s="1"/>
      <c r="R27" s="1"/>
      <c r="S27" s="1"/>
      <c r="T27" s="1"/>
      <c r="U27" s="1"/>
      <c r="V27" s="1"/>
      <c r="W27" s="45"/>
      <c r="X27" s="3"/>
      <c r="Y27" s="3"/>
      <c r="Z27" s="3"/>
    </row>
    <row r="28" spans="1:26" x14ac:dyDescent="0.25">
      <c r="A28" s="3"/>
      <c r="B28" s="143" t="s">
        <v>23</v>
      </c>
      <c r="C28" s="144"/>
      <c r="D28" s="37">
        <v>0</v>
      </c>
      <c r="E28" s="133">
        <f>MAX(0,MIN(Данные!O28,Данные!P28,Данные!Q28))+D28</f>
        <v>159</v>
      </c>
      <c r="F28" s="11">
        <f>Данные!E28*Данные!$D$66</f>
        <v>0.48449999999999999</v>
      </c>
      <c r="G28" s="11">
        <f>Данные!F28*Данные!$D$66</f>
        <v>1.9</v>
      </c>
      <c r="H28" s="12">
        <f>F28*D28+Данные!G28*Данные!I28</f>
        <v>0</v>
      </c>
      <c r="I28" s="11">
        <f>IF(D28&gt;Данные!$D$71-Данные!K28,Данные!$D$71-Данные!K28,D28)</f>
        <v>0</v>
      </c>
      <c r="J28" s="12">
        <f t="shared" si="4"/>
        <v>0</v>
      </c>
      <c r="K28" s="40">
        <v>0</v>
      </c>
      <c r="L28" s="19"/>
      <c r="M28" s="1"/>
      <c r="N28" s="1"/>
      <c r="O28" s="1"/>
      <c r="P28" s="1"/>
      <c r="Q28" s="1"/>
      <c r="R28" s="1"/>
      <c r="S28" s="1"/>
      <c r="T28" s="1"/>
      <c r="U28" s="1"/>
      <c r="V28" s="1"/>
      <c r="W28" s="45"/>
      <c r="X28" s="3"/>
      <c r="Y28" s="3"/>
      <c r="Z28" s="3"/>
    </row>
    <row r="29" spans="1:26" x14ac:dyDescent="0.25">
      <c r="A29" s="3"/>
      <c r="B29" s="145" t="s">
        <v>24</v>
      </c>
      <c r="C29" s="146"/>
      <c r="D29" s="37">
        <v>0</v>
      </c>
      <c r="E29" s="132">
        <f>MAX(0,MIN(Данные!O29,Данные!P29,Данные!Q29))+D29</f>
        <v>159</v>
      </c>
      <c r="F29" s="8">
        <f>Данные!E29*Данные!$D$66</f>
        <v>0.48449999999999999</v>
      </c>
      <c r="G29" s="8">
        <f>Данные!F29*Данные!$D$66</f>
        <v>1.9</v>
      </c>
      <c r="H29" s="9">
        <f>F29*D29+Данные!G29*Данные!I29</f>
        <v>0</v>
      </c>
      <c r="I29" s="8">
        <f>IF(D29&gt;Данные!$D$71-Данные!K29,Данные!$D$71-Данные!K29,D29)</f>
        <v>0</v>
      </c>
      <c r="J29" s="9">
        <f t="shared" si="4"/>
        <v>0</v>
      </c>
      <c r="K29" s="40">
        <v>0</v>
      </c>
      <c r="L29" s="19"/>
      <c r="M29" s="1"/>
      <c r="N29" s="1"/>
      <c r="O29" s="1"/>
      <c r="P29" s="1"/>
      <c r="Q29" s="1"/>
      <c r="R29" s="1"/>
      <c r="S29" s="1"/>
      <c r="T29" s="1"/>
      <c r="U29" s="1"/>
      <c r="V29" s="1"/>
      <c r="W29" s="45"/>
      <c r="X29" s="3"/>
      <c r="Y29" s="3"/>
      <c r="Z29" s="3"/>
    </row>
    <row r="30" spans="1:26" x14ac:dyDescent="0.25">
      <c r="A30" s="3"/>
      <c r="B30" s="143" t="s">
        <v>25</v>
      </c>
      <c r="C30" s="144"/>
      <c r="D30" s="37">
        <v>0</v>
      </c>
      <c r="E30" s="133">
        <f>MAX(0,MIN(Данные!O30,Данные!P30,Данные!Q30))+D30</f>
        <v>79</v>
      </c>
      <c r="F30" s="11">
        <f>Данные!E30*Данные!$D$66</f>
        <v>0.56999999999999995</v>
      </c>
      <c r="G30" s="11">
        <f>Данные!F30*Данные!$D$66</f>
        <v>1.9</v>
      </c>
      <c r="H30" s="12">
        <f>F30*D30+Данные!G30*Данные!I30</f>
        <v>0</v>
      </c>
      <c r="I30" s="11">
        <f>IF(D30*2&gt;Данные!$D$71-Данные!K30,Данные!$D$71-Данные!K30,D30*2)</f>
        <v>0</v>
      </c>
      <c r="J30" s="12">
        <f t="shared" si="4"/>
        <v>0</v>
      </c>
      <c r="K30" s="40">
        <v>0</v>
      </c>
      <c r="L30" s="19"/>
      <c r="M30" s="1"/>
      <c r="N30" s="1"/>
      <c r="O30" s="1"/>
      <c r="P30" s="1"/>
      <c r="Q30" s="1"/>
      <c r="R30" s="1"/>
      <c r="S30" s="1"/>
      <c r="T30" s="1"/>
      <c r="U30" s="1"/>
      <c r="V30" s="1"/>
      <c r="W30" s="45"/>
      <c r="X30" s="3"/>
      <c r="Y30" s="3"/>
      <c r="Z30" s="3"/>
    </row>
    <row r="31" spans="1:26" x14ac:dyDescent="0.25">
      <c r="A31" s="3"/>
      <c r="B31" s="145" t="s">
        <v>26</v>
      </c>
      <c r="C31" s="146"/>
      <c r="D31" s="37">
        <v>0</v>
      </c>
      <c r="E31" s="132">
        <f>MAX(0,MIN(Данные!O31,Данные!P31,Данные!Q31))+D31</f>
        <v>53</v>
      </c>
      <c r="F31" s="8">
        <f>Данные!E31*Данные!$D$66</f>
        <v>0.627</v>
      </c>
      <c r="G31" s="8">
        <f>Данные!F31*Данные!$D$66</f>
        <v>1.9</v>
      </c>
      <c r="H31" s="9">
        <f>F31*D31+Данные!G31*Данные!I31</f>
        <v>0</v>
      </c>
      <c r="I31" s="8">
        <f>IF(D31*3&gt;Данные!$D$71-Данные!K31,Данные!$D$71-Данные!K31,D31*3)</f>
        <v>0</v>
      </c>
      <c r="J31" s="9">
        <f t="shared" si="4"/>
        <v>0</v>
      </c>
      <c r="K31" s="41">
        <v>0</v>
      </c>
      <c r="L31" s="19"/>
      <c r="M31" s="1"/>
      <c r="N31" s="1"/>
      <c r="O31" s="1"/>
      <c r="P31" s="1"/>
      <c r="Q31" s="1"/>
      <c r="R31" s="1"/>
      <c r="S31" s="1"/>
      <c r="T31" s="1"/>
      <c r="U31" s="1"/>
      <c r="V31" s="1"/>
      <c r="W31" s="45"/>
      <c r="X31" s="3"/>
      <c r="Y31" s="3"/>
      <c r="Z31" s="3"/>
    </row>
    <row r="32" spans="1:26" x14ac:dyDescent="0.25">
      <c r="A32" s="3"/>
      <c r="B32" s="143" t="s">
        <v>424</v>
      </c>
      <c r="C32" s="144"/>
      <c r="D32" s="37">
        <v>0</v>
      </c>
      <c r="E32" s="133">
        <f>MAX(0,MIN(Данные!O32,Данные!P32,Данные!Q32))+D32</f>
        <v>159</v>
      </c>
      <c r="F32" s="11">
        <f>Данные!E32*Данные!$D$66</f>
        <v>0.47499999999999998</v>
      </c>
      <c r="G32" s="11">
        <f>Данные!F32*Данные!$D$66</f>
        <v>1.9</v>
      </c>
      <c r="H32" s="12">
        <f>F32*D32+Данные!G32*Данные!I32</f>
        <v>0</v>
      </c>
      <c r="I32" s="11">
        <f>IF(D32&gt;Данные!$D$71-Данные!K32,Данные!$D$71-Данные!K32,D32)</f>
        <v>0</v>
      </c>
      <c r="J32" s="12">
        <f t="shared" si="4"/>
        <v>0</v>
      </c>
      <c r="K32" s="110">
        <v>0</v>
      </c>
      <c r="L32" s="113"/>
      <c r="M32" s="1"/>
      <c r="N32" s="1"/>
      <c r="O32" s="1"/>
      <c r="P32" s="1"/>
      <c r="Q32" s="1"/>
      <c r="R32" s="1"/>
      <c r="S32" s="1"/>
      <c r="T32" s="1"/>
      <c r="U32" s="1"/>
      <c r="V32" s="1"/>
      <c r="W32" s="45"/>
      <c r="X32" s="3"/>
      <c r="Y32" s="3"/>
      <c r="Z32" s="3"/>
    </row>
    <row r="33" spans="1:26" x14ac:dyDescent="0.25">
      <c r="A33" s="3"/>
      <c r="B33" s="145" t="s">
        <v>425</v>
      </c>
      <c r="C33" s="146"/>
      <c r="D33" s="37">
        <v>0</v>
      </c>
      <c r="E33" s="132">
        <f>MAX(0,MIN(Данные!O33,Данные!P33,Данные!Q33))+D33</f>
        <v>6</v>
      </c>
      <c r="F33" s="8">
        <f>Данные!E33*Данные!$D$66+Данные!D77*Данные!$D$66</f>
        <v>8.0749999999999993</v>
      </c>
      <c r="G33" s="8">
        <f>Данные!F33*Данные!$D$66+Данные!E77*Данные!$D$66</f>
        <v>25.65</v>
      </c>
      <c r="H33" s="9">
        <f>F33*D33+Данные!G33*Данные!I33</f>
        <v>0</v>
      </c>
      <c r="I33" s="8">
        <f>IF(D33&gt;Данные!$D$71-Данные!K33,Данные!$D$71-Данные!K33,D33)</f>
        <v>0</v>
      </c>
      <c r="J33" s="9">
        <f>Данные!$D$66*(I33*Данные!F33+Данные!E77*D33)</f>
        <v>0</v>
      </c>
      <c r="K33" s="110">
        <v>0</v>
      </c>
      <c r="L33" s="113"/>
      <c r="M33" s="1"/>
      <c r="N33" s="1"/>
      <c r="O33" s="1"/>
      <c r="P33" s="1"/>
      <c r="Q33" s="1"/>
      <c r="R33" s="1"/>
      <c r="S33" s="1"/>
      <c r="T33" s="1"/>
      <c r="U33" s="1"/>
      <c r="V33" s="1"/>
      <c r="W33" s="45"/>
      <c r="X33" s="3"/>
      <c r="Y33" s="3"/>
      <c r="Z33" s="3"/>
    </row>
    <row r="34" spans="1:26" x14ac:dyDescent="0.25">
      <c r="A34" s="3"/>
      <c r="B34" s="143" t="s">
        <v>382</v>
      </c>
      <c r="C34" s="144"/>
      <c r="D34" s="37">
        <v>0</v>
      </c>
      <c r="E34" s="133">
        <f>MAX(0,MIN(Данные!O34,Данные!P34,Данные!Q34))+D34</f>
        <v>31</v>
      </c>
      <c r="F34" s="11">
        <f>(Данные!E34+Данные!D80)*Данные!$D$66</f>
        <v>2.2800000000000002</v>
      </c>
      <c r="G34" s="11">
        <f>Данные!F34*Данные!$D$66</f>
        <v>0</v>
      </c>
      <c r="H34" s="12">
        <f>D34*F34</f>
        <v>0</v>
      </c>
      <c r="I34" s="11">
        <v>0</v>
      </c>
      <c r="J34" s="12">
        <f>I34*G34</f>
        <v>0</v>
      </c>
      <c r="K34" s="15" t="str">
        <f>Данные!D116</f>
        <v>НЕТ</v>
      </c>
      <c r="L34" s="111"/>
      <c r="M34" s="1"/>
      <c r="N34" s="1"/>
      <c r="O34" s="1"/>
      <c r="P34" s="1"/>
      <c r="Q34" s="1"/>
      <c r="R34" s="1"/>
      <c r="S34" s="1"/>
      <c r="T34" s="1"/>
      <c r="U34" s="1"/>
      <c r="V34" s="1"/>
      <c r="W34" s="45"/>
      <c r="X34" s="3"/>
      <c r="Y34" s="3"/>
      <c r="Z34" s="3"/>
    </row>
    <row r="35" spans="1:26" ht="15.75" x14ac:dyDescent="0.25">
      <c r="A35" s="3"/>
      <c r="B35" s="154" t="s">
        <v>27</v>
      </c>
      <c r="C35" s="155"/>
      <c r="D35" s="155"/>
      <c r="E35" s="155"/>
      <c r="F35" s="155"/>
      <c r="G35" s="155"/>
      <c r="H35" s="155"/>
      <c r="I35" s="155"/>
      <c r="J35" s="17"/>
      <c r="K35" s="131"/>
      <c r="L35" s="20"/>
      <c r="M35" s="1"/>
      <c r="N35" s="1"/>
      <c r="O35" s="1"/>
      <c r="P35" s="1"/>
      <c r="Q35" s="1"/>
      <c r="R35" s="1"/>
      <c r="S35" s="1"/>
      <c r="T35" s="1"/>
      <c r="U35" s="1"/>
      <c r="V35" s="1"/>
      <c r="W35" s="45"/>
      <c r="X35" s="3"/>
      <c r="Y35" s="3"/>
      <c r="Z35" s="3"/>
    </row>
    <row r="36" spans="1:26" x14ac:dyDescent="0.25">
      <c r="A36" s="3"/>
      <c r="B36" s="145" t="s">
        <v>411</v>
      </c>
      <c r="C36" s="146"/>
      <c r="D36" s="37">
        <v>0</v>
      </c>
      <c r="E36" s="132">
        <f>MAX(0,MIN(Данные!O36,Данные!P36,Данные!Q36))+D36</f>
        <v>82</v>
      </c>
      <c r="F36" s="8">
        <f>Данные!E36*Данные!$D$66</f>
        <v>0.30399999999999999</v>
      </c>
      <c r="G36" s="8">
        <f>Данные!F36*Данные!$D$66</f>
        <v>2.375</v>
      </c>
      <c r="H36" s="9">
        <f t="shared" ref="H36:H52" si="5">D36*F36</f>
        <v>0</v>
      </c>
      <c r="I36" s="8">
        <f t="shared" ref="I36:I52" si="6">D36</f>
        <v>0</v>
      </c>
      <c r="J36" s="9">
        <f>I36*G36</f>
        <v>0</v>
      </c>
      <c r="K36" s="10" t="str">
        <f>Данные!$D$116</f>
        <v>НЕТ</v>
      </c>
      <c r="L36" s="42" t="s">
        <v>118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45"/>
      <c r="X36" s="3"/>
      <c r="Y36" s="3"/>
      <c r="Z36" s="3"/>
    </row>
    <row r="37" spans="1:26" x14ac:dyDescent="0.25">
      <c r="A37" s="3"/>
      <c r="B37" s="145" t="s">
        <v>403</v>
      </c>
      <c r="C37" s="146"/>
      <c r="D37" s="37">
        <v>0</v>
      </c>
      <c r="E37" s="132">
        <f>MAX(0,MIN(Данные!O37,Данные!P37,Данные!Q37))+D37</f>
        <v>36</v>
      </c>
      <c r="F37" s="8">
        <f>Данные!E37*Данные!$D$66</f>
        <v>0.30399999999999999</v>
      </c>
      <c r="G37" s="8">
        <f>Данные!F37*Данные!$D$66</f>
        <v>5.6999999999999993</v>
      </c>
      <c r="H37" s="9">
        <f t="shared" si="5"/>
        <v>0</v>
      </c>
      <c r="I37" s="8">
        <f t="shared" si="6"/>
        <v>0</v>
      </c>
      <c r="J37" s="9">
        <f>I37*G37</f>
        <v>0</v>
      </c>
      <c r="K37" s="10" t="str">
        <f>Данные!$D$116</f>
        <v>НЕТ</v>
      </c>
      <c r="L37" s="42" t="s">
        <v>86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45"/>
      <c r="X37" s="3"/>
      <c r="Y37" s="3"/>
      <c r="Z37" s="3"/>
    </row>
    <row r="38" spans="1:26" x14ac:dyDescent="0.25">
      <c r="A38" s="3"/>
      <c r="B38" s="143" t="s">
        <v>412</v>
      </c>
      <c r="C38" s="144"/>
      <c r="D38" s="37">
        <v>0</v>
      </c>
      <c r="E38" s="133">
        <f>MAX(0,MIN(Данные!O38,Данные!P38,Данные!Q38))+D38</f>
        <v>67</v>
      </c>
      <c r="F38" s="11">
        <f>(Данные!E38+Данные!G38)*Данные!$D$66</f>
        <v>0.48449999999999999</v>
      </c>
      <c r="G38" s="11">
        <f>Данные!F38*Данные!$D$66</f>
        <v>2.375</v>
      </c>
      <c r="H38" s="12">
        <f t="shared" si="5"/>
        <v>0</v>
      </c>
      <c r="I38" s="11">
        <f t="shared" si="6"/>
        <v>0</v>
      </c>
      <c r="J38" s="12">
        <f>I38*G38</f>
        <v>0</v>
      </c>
      <c r="K38" s="13">
        <f>D38</f>
        <v>0</v>
      </c>
      <c r="L38" s="42" t="s">
        <v>118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45"/>
      <c r="X38" s="3"/>
      <c r="Y38" s="3"/>
      <c r="Z38" s="3"/>
    </row>
    <row r="39" spans="1:26" x14ac:dyDescent="0.25">
      <c r="A39" s="3"/>
      <c r="B39" s="143" t="s">
        <v>404</v>
      </c>
      <c r="C39" s="144"/>
      <c r="D39" s="37">
        <v>0</v>
      </c>
      <c r="E39" s="133">
        <f>MAX(0,MIN(Данные!O39,Данные!P39,Данные!Q39))+D39</f>
        <v>31</v>
      </c>
      <c r="F39" s="11">
        <f>(Данные!E39+Данные!G39)*Данные!$D$66</f>
        <v>0.48449999999999999</v>
      </c>
      <c r="G39" s="11">
        <f>Данные!F39*Данные!$D$66</f>
        <v>5.6999999999999993</v>
      </c>
      <c r="H39" s="12">
        <f t="shared" si="5"/>
        <v>0</v>
      </c>
      <c r="I39" s="11">
        <f t="shared" si="6"/>
        <v>0</v>
      </c>
      <c r="J39" s="12">
        <f>I39*G39</f>
        <v>0</v>
      </c>
      <c r="K39" s="13">
        <f>D39</f>
        <v>0</v>
      </c>
      <c r="L39" s="42" t="s">
        <v>86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45"/>
      <c r="X39" s="3"/>
      <c r="Y39" s="3"/>
      <c r="Z39" s="3"/>
    </row>
    <row r="40" spans="1:26" x14ac:dyDescent="0.25">
      <c r="A40" s="3"/>
      <c r="B40" s="145" t="s">
        <v>413</v>
      </c>
      <c r="C40" s="146"/>
      <c r="D40" s="37">
        <v>0</v>
      </c>
      <c r="E40" s="132">
        <f>MAX(0,MIN(Данные!O40,Данные!P40,Данные!Q40))+D40</f>
        <v>82</v>
      </c>
      <c r="F40" s="8">
        <f>Данные!E40*Данные!$D$66</f>
        <v>0.30399999999999999</v>
      </c>
      <c r="G40" s="8">
        <f>Данные!F40*Данные!$D$66</f>
        <v>2.375</v>
      </c>
      <c r="H40" s="9">
        <f t="shared" si="5"/>
        <v>0</v>
      </c>
      <c r="I40" s="8">
        <f t="shared" si="6"/>
        <v>0</v>
      </c>
      <c r="J40" s="9">
        <f t="shared" ref="J40:J52" si="7">I40*G40</f>
        <v>0</v>
      </c>
      <c r="K40" s="10" t="str">
        <f>Данные!$D$116</f>
        <v>НЕТ</v>
      </c>
      <c r="L40" s="42" t="s">
        <v>118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45"/>
      <c r="X40" s="3"/>
      <c r="Y40" s="3"/>
      <c r="Z40" s="3"/>
    </row>
    <row r="41" spans="1:26" x14ac:dyDescent="0.25">
      <c r="A41" s="3"/>
      <c r="B41" s="145" t="s">
        <v>405</v>
      </c>
      <c r="C41" s="146"/>
      <c r="D41" s="37">
        <v>0</v>
      </c>
      <c r="E41" s="132">
        <f>MAX(0,MIN(Данные!O41,Данные!P41,Данные!Q41))+D41</f>
        <v>36</v>
      </c>
      <c r="F41" s="8">
        <f>Данные!E41*Данные!$D$66</f>
        <v>0.30399999999999999</v>
      </c>
      <c r="G41" s="8">
        <f>Данные!F41*Данные!$D$66</f>
        <v>5.6999999999999993</v>
      </c>
      <c r="H41" s="9">
        <f t="shared" si="5"/>
        <v>0</v>
      </c>
      <c r="I41" s="8">
        <f t="shared" si="6"/>
        <v>0</v>
      </c>
      <c r="J41" s="9">
        <f t="shared" si="7"/>
        <v>0</v>
      </c>
      <c r="K41" s="10" t="str">
        <f>Данные!$D$116</f>
        <v>НЕТ</v>
      </c>
      <c r="L41" s="42" t="s">
        <v>86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45"/>
      <c r="X41" s="3"/>
      <c r="Y41" s="3"/>
      <c r="Z41" s="3"/>
    </row>
    <row r="42" spans="1:26" x14ac:dyDescent="0.25">
      <c r="A42" s="3"/>
      <c r="B42" s="143" t="s">
        <v>414</v>
      </c>
      <c r="C42" s="144"/>
      <c r="D42" s="37">
        <v>0</v>
      </c>
      <c r="E42" s="133">
        <f>MAX(0,MIN(Данные!O42,Данные!P42,Данные!Q42))+D42</f>
        <v>67</v>
      </c>
      <c r="F42" s="11">
        <f>(Данные!E42+Данные!G42)*Данные!$D$66</f>
        <v>0.48449999999999999</v>
      </c>
      <c r="G42" s="11">
        <f>Данные!F42*Данные!$D$66</f>
        <v>2.375</v>
      </c>
      <c r="H42" s="12">
        <f t="shared" si="5"/>
        <v>0</v>
      </c>
      <c r="I42" s="11">
        <f t="shared" si="6"/>
        <v>0</v>
      </c>
      <c r="J42" s="12">
        <f t="shared" si="7"/>
        <v>0</v>
      </c>
      <c r="K42" s="13">
        <f>D42</f>
        <v>0</v>
      </c>
      <c r="L42" s="42" t="s">
        <v>118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45"/>
      <c r="X42" s="3"/>
      <c r="Y42" s="3"/>
      <c r="Z42" s="3"/>
    </row>
    <row r="43" spans="1:26" x14ac:dyDescent="0.25">
      <c r="A43" s="3"/>
      <c r="B43" s="143" t="s">
        <v>406</v>
      </c>
      <c r="C43" s="144"/>
      <c r="D43" s="37">
        <v>0</v>
      </c>
      <c r="E43" s="133">
        <f>MAX(0,MIN(Данные!O43,Данные!P43,Данные!Q43))+D43</f>
        <v>31</v>
      </c>
      <c r="F43" s="11">
        <f>(Данные!E43+Данные!G43)*Данные!$D$66</f>
        <v>0.48449999999999999</v>
      </c>
      <c r="G43" s="11">
        <f>Данные!F43*Данные!$D$66</f>
        <v>5.6999999999999993</v>
      </c>
      <c r="H43" s="12">
        <f t="shared" si="5"/>
        <v>0</v>
      </c>
      <c r="I43" s="11">
        <f t="shared" si="6"/>
        <v>0</v>
      </c>
      <c r="J43" s="12">
        <f t="shared" si="7"/>
        <v>0</v>
      </c>
      <c r="K43" s="13">
        <f>D43</f>
        <v>0</v>
      </c>
      <c r="L43" s="42" t="s">
        <v>86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45"/>
      <c r="X43" s="3"/>
      <c r="Y43" s="3"/>
      <c r="Z43" s="3"/>
    </row>
    <row r="44" spans="1:26" x14ac:dyDescent="0.25">
      <c r="A44" s="3"/>
      <c r="B44" s="145" t="s">
        <v>415</v>
      </c>
      <c r="C44" s="146"/>
      <c r="D44" s="37">
        <v>0</v>
      </c>
      <c r="E44" s="132">
        <f>MAX(0,MIN(Данные!O44,Данные!P44,Данные!Q44))+D44</f>
        <v>38</v>
      </c>
      <c r="F44" s="8">
        <f>Данные!E44*Данные!$D$66</f>
        <v>0.30399999999999999</v>
      </c>
      <c r="G44" s="8">
        <f>Данные!F44*Данные!$D$66</f>
        <v>5.51</v>
      </c>
      <c r="H44" s="9">
        <f t="shared" si="5"/>
        <v>0</v>
      </c>
      <c r="I44" s="8">
        <f t="shared" si="6"/>
        <v>0</v>
      </c>
      <c r="J44" s="9">
        <f t="shared" si="7"/>
        <v>0</v>
      </c>
      <c r="K44" s="10" t="str">
        <f>Данные!$D$116</f>
        <v>НЕТ</v>
      </c>
      <c r="L44" s="42" t="s">
        <v>118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45"/>
      <c r="X44" s="3"/>
      <c r="Y44" s="3"/>
      <c r="Z44" s="3"/>
    </row>
    <row r="45" spans="1:26" x14ac:dyDescent="0.25">
      <c r="A45" s="3"/>
      <c r="B45" s="145" t="s">
        <v>407</v>
      </c>
      <c r="C45" s="146"/>
      <c r="D45" s="37">
        <v>0</v>
      </c>
      <c r="E45" s="132">
        <f>MAX(0,MIN(Данные!O45,Данные!P45,Данные!Q45))+D45</f>
        <v>24</v>
      </c>
      <c r="F45" s="8">
        <f>Данные!E45*Данные!$D$66</f>
        <v>0.30399999999999999</v>
      </c>
      <c r="G45" s="8">
        <f>Данные!F45*Данные!$D$66</f>
        <v>8.8350000000000009</v>
      </c>
      <c r="H45" s="9">
        <f t="shared" si="5"/>
        <v>0</v>
      </c>
      <c r="I45" s="8">
        <f t="shared" si="6"/>
        <v>0</v>
      </c>
      <c r="J45" s="9">
        <f t="shared" si="7"/>
        <v>0</v>
      </c>
      <c r="K45" s="10" t="str">
        <f>Данные!$D$116</f>
        <v>НЕТ</v>
      </c>
      <c r="L45" s="42" t="s">
        <v>86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45"/>
      <c r="X45" s="3"/>
      <c r="Y45" s="3"/>
      <c r="Z45" s="3"/>
    </row>
    <row r="46" spans="1:26" x14ac:dyDescent="0.25">
      <c r="A46" s="3"/>
      <c r="B46" s="143" t="s">
        <v>416</v>
      </c>
      <c r="C46" s="144"/>
      <c r="D46" s="37">
        <v>0</v>
      </c>
      <c r="E46" s="133">
        <f>MAX(0,MIN(Данные!O46,Данные!P46,Данные!Q46))+D46</f>
        <v>32</v>
      </c>
      <c r="F46" s="11">
        <f>(Данные!E46+Данные!G46)*Данные!$D$66</f>
        <v>0.48449999999999999</v>
      </c>
      <c r="G46" s="11">
        <f>Данные!F46*Данные!$D$66</f>
        <v>5.51</v>
      </c>
      <c r="H46" s="12">
        <f t="shared" si="5"/>
        <v>0</v>
      </c>
      <c r="I46" s="11">
        <f t="shared" si="6"/>
        <v>0</v>
      </c>
      <c r="J46" s="12">
        <f t="shared" si="7"/>
        <v>0</v>
      </c>
      <c r="K46" s="13">
        <f>D46</f>
        <v>0</v>
      </c>
      <c r="L46" s="42" t="s">
        <v>118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45"/>
      <c r="X46" s="3"/>
      <c r="Y46" s="3"/>
      <c r="Z46" s="3"/>
    </row>
    <row r="47" spans="1:26" x14ac:dyDescent="0.25">
      <c r="A47" s="3"/>
      <c r="B47" s="143" t="s">
        <v>408</v>
      </c>
      <c r="C47" s="144"/>
      <c r="D47" s="37">
        <v>0</v>
      </c>
      <c r="E47" s="133">
        <f>MAX(0,MIN(Данные!O47,Данные!P47,Данные!Q47))+D47</f>
        <v>20</v>
      </c>
      <c r="F47" s="11">
        <f>(Данные!E47+Данные!G47)*Данные!$D$66</f>
        <v>0.48449999999999999</v>
      </c>
      <c r="G47" s="11">
        <f>Данные!F47*Данные!$D$66</f>
        <v>8.8350000000000009</v>
      </c>
      <c r="H47" s="12">
        <f t="shared" si="5"/>
        <v>0</v>
      </c>
      <c r="I47" s="11">
        <f t="shared" si="6"/>
        <v>0</v>
      </c>
      <c r="J47" s="12">
        <f t="shared" si="7"/>
        <v>0</v>
      </c>
      <c r="K47" s="13">
        <f>D47</f>
        <v>0</v>
      </c>
      <c r="L47" s="42" t="s">
        <v>86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45"/>
      <c r="X47" s="3"/>
      <c r="Y47" s="3"/>
      <c r="Z47" s="3"/>
    </row>
    <row r="48" spans="1:26" x14ac:dyDescent="0.25">
      <c r="A48" s="3"/>
      <c r="B48" s="145" t="s">
        <v>417</v>
      </c>
      <c r="C48" s="146"/>
      <c r="D48" s="37">
        <v>0</v>
      </c>
      <c r="E48" s="132">
        <f>MAX(0,MIN(Данные!O48,Данные!P48,Данные!Q48))+D48</f>
        <v>38</v>
      </c>
      <c r="F48" s="8">
        <f>Данные!E48*Данные!$D$66</f>
        <v>0.30399999999999999</v>
      </c>
      <c r="G48" s="8">
        <f>Данные!F48*Данные!$D$66</f>
        <v>5.51</v>
      </c>
      <c r="H48" s="9">
        <f t="shared" si="5"/>
        <v>0</v>
      </c>
      <c r="I48" s="8">
        <f t="shared" si="6"/>
        <v>0</v>
      </c>
      <c r="J48" s="9">
        <f t="shared" si="7"/>
        <v>0</v>
      </c>
      <c r="K48" s="10" t="str">
        <f>Данные!$D$116</f>
        <v>НЕТ</v>
      </c>
      <c r="L48" s="42" t="s">
        <v>118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45"/>
      <c r="X48" s="3"/>
      <c r="Y48" s="3"/>
      <c r="Z48" s="3"/>
    </row>
    <row r="49" spans="1:26" x14ac:dyDescent="0.25">
      <c r="A49" s="3"/>
      <c r="B49" s="145" t="s">
        <v>409</v>
      </c>
      <c r="C49" s="146"/>
      <c r="D49" s="37">
        <v>0</v>
      </c>
      <c r="E49" s="132">
        <f>MAX(0,MIN(Данные!O49,Данные!P49,Данные!Q49))+D49</f>
        <v>24</v>
      </c>
      <c r="F49" s="8">
        <f>Данные!E49*Данные!$D$66</f>
        <v>0.30399999999999999</v>
      </c>
      <c r="G49" s="8">
        <f>Данные!F49*Данные!$D$66</f>
        <v>8.8350000000000009</v>
      </c>
      <c r="H49" s="9">
        <f t="shared" si="5"/>
        <v>0</v>
      </c>
      <c r="I49" s="8">
        <f t="shared" si="6"/>
        <v>0</v>
      </c>
      <c r="J49" s="9">
        <f t="shared" si="7"/>
        <v>0</v>
      </c>
      <c r="K49" s="10" t="str">
        <f>Данные!$D$116</f>
        <v>НЕТ</v>
      </c>
      <c r="L49" s="42" t="s">
        <v>86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45"/>
      <c r="X49" s="3"/>
      <c r="Y49" s="3"/>
      <c r="Z49" s="3"/>
    </row>
    <row r="50" spans="1:26" x14ac:dyDescent="0.25">
      <c r="A50" s="3"/>
      <c r="B50" s="151" t="s">
        <v>418</v>
      </c>
      <c r="C50" s="152"/>
      <c r="D50" s="37">
        <v>0</v>
      </c>
      <c r="E50" s="133">
        <f>MAX(0,MIN(Данные!O50,Данные!P50,Данные!Q50))+D50</f>
        <v>32</v>
      </c>
      <c r="F50" s="11">
        <f>(Данные!E50+Данные!G50)*Данные!$D$66</f>
        <v>0.48449999999999999</v>
      </c>
      <c r="G50" s="11">
        <f>Данные!F50*Данные!$D$66</f>
        <v>5.51</v>
      </c>
      <c r="H50" s="12">
        <f t="shared" si="5"/>
        <v>0</v>
      </c>
      <c r="I50" s="11">
        <f t="shared" si="6"/>
        <v>0</v>
      </c>
      <c r="J50" s="12">
        <f t="shared" si="7"/>
        <v>0</v>
      </c>
      <c r="K50" s="13">
        <f>D50</f>
        <v>0</v>
      </c>
      <c r="L50" s="42" t="s">
        <v>118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45"/>
      <c r="X50" s="3"/>
      <c r="Y50" s="3"/>
      <c r="Z50" s="3"/>
    </row>
    <row r="51" spans="1:26" x14ac:dyDescent="0.25">
      <c r="A51" s="3"/>
      <c r="B51" s="151" t="s">
        <v>410</v>
      </c>
      <c r="C51" s="152"/>
      <c r="D51" s="37">
        <v>0</v>
      </c>
      <c r="E51" s="133">
        <f>MAX(0,MIN(Данные!O51,Данные!P51,Данные!Q51))+D51</f>
        <v>20</v>
      </c>
      <c r="F51" s="11">
        <f>(Данные!E51+Данные!G51)*Данные!$D$66</f>
        <v>0.48449999999999999</v>
      </c>
      <c r="G51" s="11">
        <f>Данные!F51*Данные!$D$66</f>
        <v>8.8350000000000009</v>
      </c>
      <c r="H51" s="12">
        <f t="shared" si="5"/>
        <v>0</v>
      </c>
      <c r="I51" s="11">
        <f t="shared" si="6"/>
        <v>0</v>
      </c>
      <c r="J51" s="12">
        <f t="shared" si="7"/>
        <v>0</v>
      </c>
      <c r="K51" s="108">
        <f>D51</f>
        <v>0</v>
      </c>
      <c r="L51" s="107" t="s">
        <v>86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45"/>
      <c r="X51" s="3"/>
      <c r="Y51" s="3"/>
      <c r="Z51" s="3"/>
    </row>
    <row r="52" spans="1:26" x14ac:dyDescent="0.25">
      <c r="A52" s="3"/>
      <c r="B52" s="149" t="s">
        <v>28</v>
      </c>
      <c r="C52" s="150"/>
      <c r="D52" s="38">
        <v>0</v>
      </c>
      <c r="E52" s="132">
        <f>MAX(0,MIN(Данные!O52,Данные!P52,Данные!Q52))+D52</f>
        <v>71</v>
      </c>
      <c r="F52" s="8">
        <f>Данные!E52*Данные!$D$66</f>
        <v>0.29449999999999998</v>
      </c>
      <c r="G52" s="8">
        <f>Данные!F52*Данные!$D$66</f>
        <v>2.8214999999999999</v>
      </c>
      <c r="H52" s="9">
        <f t="shared" si="5"/>
        <v>0</v>
      </c>
      <c r="I52" s="8">
        <f t="shared" si="6"/>
        <v>0</v>
      </c>
      <c r="J52" s="9">
        <f t="shared" si="7"/>
        <v>0</v>
      </c>
      <c r="K52" s="109" t="str">
        <f>Данные!$D$116</f>
        <v>НЕТ</v>
      </c>
      <c r="L52" s="21"/>
      <c r="M52" s="1"/>
      <c r="N52" s="1"/>
      <c r="O52" s="1"/>
      <c r="P52" s="1"/>
      <c r="Q52" s="1"/>
      <c r="R52" s="1"/>
      <c r="S52" s="1"/>
      <c r="T52" s="1"/>
      <c r="U52" s="1"/>
      <c r="V52" s="1"/>
      <c r="W52" s="45"/>
      <c r="X52" s="3"/>
      <c r="Y52" s="3"/>
      <c r="Z52" s="3"/>
    </row>
    <row r="53" spans="1:26" ht="15.75" x14ac:dyDescent="0.25">
      <c r="A53" s="3"/>
      <c r="B53" s="147" t="s">
        <v>29</v>
      </c>
      <c r="C53" s="148"/>
      <c r="D53" s="148"/>
      <c r="E53" s="148"/>
      <c r="F53" s="148"/>
      <c r="G53" s="148"/>
      <c r="H53" s="148"/>
      <c r="I53" s="148"/>
      <c r="J53" s="22"/>
      <c r="K53" s="131"/>
      <c r="L53" s="20"/>
      <c r="M53" s="1"/>
      <c r="N53" s="1"/>
      <c r="O53" s="1"/>
      <c r="P53" s="1"/>
      <c r="Q53" s="1"/>
      <c r="R53" s="1"/>
      <c r="S53" s="1"/>
      <c r="T53" s="1"/>
      <c r="U53" s="1"/>
      <c r="V53" s="1"/>
      <c r="W53" s="45"/>
      <c r="X53" s="3"/>
      <c r="Y53" s="3"/>
      <c r="Z53" s="3"/>
    </row>
    <row r="54" spans="1:26" x14ac:dyDescent="0.25">
      <c r="A54" s="3"/>
      <c r="B54" s="143" t="s">
        <v>30</v>
      </c>
      <c r="C54" s="144"/>
      <c r="D54" s="37">
        <v>0</v>
      </c>
      <c r="E54" s="133">
        <f>MAX(0,MIN(Данные!O54,Данные!P54,Данные!Q54))+D54</f>
        <v>0</v>
      </c>
      <c r="F54" s="11">
        <f>(Данные!E54+Данные!G54)*Данные!$D$66</f>
        <v>9.5000000000000001E-2</v>
      </c>
      <c r="G54" s="11">
        <f>Данные!F54*Данные!$D$66</f>
        <v>1.9</v>
      </c>
      <c r="H54" s="12">
        <f>IF(D54&gt;SUM(D8:D17),SUM(D8:D17)*F54,D54*F54)</f>
        <v>0</v>
      </c>
      <c r="I54" s="11">
        <f>IF(D54&gt;SUM(I8:I17),SUM(I8:I17),D54)</f>
        <v>0</v>
      </c>
      <c r="J54" s="12">
        <f t="shared" ref="J54:J55" si="8">I54*G54</f>
        <v>0</v>
      </c>
      <c r="K54" s="23"/>
      <c r="L54" s="24"/>
      <c r="M54" s="1"/>
      <c r="N54" s="1"/>
      <c r="O54" s="1"/>
      <c r="P54" s="1"/>
      <c r="Q54" s="1"/>
      <c r="R54" s="1"/>
      <c r="S54" s="1"/>
      <c r="T54" s="1"/>
      <c r="U54" s="1"/>
      <c r="V54" s="1"/>
      <c r="W54" s="45"/>
      <c r="X54" s="3"/>
      <c r="Y54" s="3"/>
      <c r="Z54" s="3"/>
    </row>
    <row r="55" spans="1:26" x14ac:dyDescent="0.25">
      <c r="A55" s="3"/>
      <c r="B55" s="145" t="s">
        <v>70</v>
      </c>
      <c r="C55" s="146"/>
      <c r="D55" s="37">
        <v>0</v>
      </c>
      <c r="E55" s="132">
        <f>MAX(0,MIN(Данные!O55,Данные!P55,Данные!Q55))+D55</f>
        <v>0</v>
      </c>
      <c r="F55" s="8">
        <f>Данные!E55*Данные!$D$66</f>
        <v>9.5000000000000001E-2</v>
      </c>
      <c r="G55" s="8">
        <f>Данные!F55*Данные!$D$66</f>
        <v>10.26</v>
      </c>
      <c r="H55" s="9">
        <f>IF(D55&gt;D18,D18*F55,D55*F55)</f>
        <v>0</v>
      </c>
      <c r="I55" s="8">
        <f>IF(D55&gt;I18,I18,D55)</f>
        <v>0</v>
      </c>
      <c r="J55" s="9">
        <f t="shared" si="8"/>
        <v>0</v>
      </c>
      <c r="K55" s="23"/>
      <c r="L55" s="24"/>
      <c r="M55" s="1"/>
      <c r="N55" s="1"/>
      <c r="O55" s="1"/>
      <c r="P55" s="1"/>
      <c r="Q55" s="1"/>
      <c r="R55" s="1"/>
      <c r="S55" s="1"/>
      <c r="T55" s="1"/>
      <c r="U55" s="1"/>
      <c r="V55" s="1"/>
      <c r="W55" s="45"/>
      <c r="X55" s="3"/>
      <c r="Y55" s="3"/>
      <c r="Z55" s="3"/>
    </row>
    <row r="56" spans="1:26" x14ac:dyDescent="0.25">
      <c r="A56" s="3"/>
      <c r="B56" s="143" t="s">
        <v>31</v>
      </c>
      <c r="C56" s="144"/>
      <c r="D56" s="37">
        <v>0</v>
      </c>
      <c r="E56" s="133">
        <f>MAX(0,MIN(Данные!O56,Данные!P56,Данные!Q56))+D56</f>
        <v>18</v>
      </c>
      <c r="F56" s="11">
        <f>(Данные!E56+Данные!G56)*Данные!$D$66</f>
        <v>7.1724999999999994</v>
      </c>
      <c r="G56" s="11">
        <f>Данные!F56*Данные!$D$66</f>
        <v>0</v>
      </c>
      <c r="H56" s="12">
        <f>D56*F56</f>
        <v>0</v>
      </c>
      <c r="I56" s="16">
        <v>0</v>
      </c>
      <c r="J56" s="12">
        <v>0</v>
      </c>
      <c r="K56" s="23"/>
      <c r="L56" s="24"/>
      <c r="M56" s="1"/>
      <c r="N56" s="1"/>
      <c r="O56" s="1"/>
      <c r="P56" s="1"/>
      <c r="Q56" s="1"/>
      <c r="R56" s="1"/>
      <c r="S56" s="1"/>
      <c r="T56" s="1"/>
      <c r="U56" s="1"/>
      <c r="V56" s="1"/>
      <c r="W56" s="45"/>
      <c r="X56" s="3"/>
      <c r="Y56" s="3"/>
      <c r="Z56" s="3"/>
    </row>
    <row r="57" spans="1:26" x14ac:dyDescent="0.25">
      <c r="A57" s="3"/>
      <c r="B57" s="145" t="s">
        <v>32</v>
      </c>
      <c r="C57" s="146"/>
      <c r="D57" s="8">
        <f>D56</f>
        <v>0</v>
      </c>
      <c r="E57" s="132">
        <f>MAX(0,MIN(Данные!O57,Данные!P57,Данные!Q57))+D57</f>
        <v>18</v>
      </c>
      <c r="F57" s="8">
        <f>Данные!E57*Данные!$D$66</f>
        <v>1.4249999999999998</v>
      </c>
      <c r="G57" s="8">
        <f>Данные!F57*Данные!$D$66</f>
        <v>0</v>
      </c>
      <c r="H57" s="9">
        <f>D57*F57</f>
        <v>0</v>
      </c>
      <c r="I57" s="8">
        <v>0</v>
      </c>
      <c r="J57" s="9">
        <v>0</v>
      </c>
      <c r="K57" s="25"/>
      <c r="L57" s="26"/>
      <c r="M57" s="1"/>
      <c r="N57" s="1"/>
      <c r="O57" s="1"/>
      <c r="P57" s="1"/>
      <c r="Q57" s="1"/>
      <c r="R57" s="1"/>
      <c r="S57" s="1"/>
      <c r="T57" s="1"/>
      <c r="U57" s="1"/>
      <c r="V57" s="1"/>
      <c r="W57" s="45"/>
      <c r="X57" s="3"/>
      <c r="Y57" s="3"/>
      <c r="Z57" s="3"/>
    </row>
    <row r="58" spans="1:26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x14ac:dyDescent="0.25">
      <c r="A59" s="3"/>
      <c r="B59" s="35"/>
      <c r="C59" s="35" t="s">
        <v>152</v>
      </c>
      <c r="D59" s="35"/>
      <c r="E59" s="35"/>
      <c r="F59" s="35"/>
      <c r="G59" s="35"/>
      <c r="H59" s="35" t="s">
        <v>167</v>
      </c>
      <c r="I59" s="35"/>
      <c r="J59" s="35"/>
      <c r="K59" s="35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x14ac:dyDescent="0.25">
      <c r="A60" s="3"/>
      <c r="B60" s="35"/>
      <c r="C60" s="82" t="s">
        <v>150</v>
      </c>
      <c r="D60" s="43">
        <v>0.87</v>
      </c>
      <c r="E60" s="35"/>
      <c r="F60" s="35"/>
      <c r="G60" s="35"/>
      <c r="H60" s="140" t="str">
        <f>Данные!E131</f>
        <v>Расчет верен</v>
      </c>
      <c r="I60" s="141"/>
      <c r="J60" s="142"/>
      <c r="K60" s="35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x14ac:dyDescent="0.25">
      <c r="A61" s="3"/>
      <c r="B61" s="35"/>
      <c r="C61" s="81" t="s">
        <v>151</v>
      </c>
      <c r="D61" s="43">
        <v>50</v>
      </c>
      <c r="E61" s="35"/>
      <c r="F61" s="35"/>
      <c r="G61" s="35"/>
      <c r="H61" s="140" t="str">
        <f>Данные!E132</f>
        <v>Превышен максимальный ток шлейфа</v>
      </c>
      <c r="I61" s="141"/>
      <c r="J61" s="142"/>
      <c r="K61" s="35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5">
      <c r="A62" s="3"/>
      <c r="B62" s="35"/>
      <c r="C62" s="35"/>
      <c r="D62" s="35"/>
      <c r="E62" s="35"/>
      <c r="F62" s="35"/>
      <c r="G62" s="35"/>
      <c r="H62" s="140" t="str">
        <f>Данные!E133</f>
        <v>Превышена максимальная ёмкость АКБ</v>
      </c>
      <c r="I62" s="141"/>
      <c r="J62" s="142"/>
      <c r="K62" s="35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5">
      <c r="A63" s="3"/>
      <c r="B63" s="35"/>
      <c r="C63" s="35" t="s">
        <v>153</v>
      </c>
      <c r="D63" s="35"/>
      <c r="E63" s="35"/>
      <c r="F63" s="35"/>
      <c r="G63" s="35"/>
      <c r="H63" s="140" t="str">
        <f>Данные!E134</f>
        <v>Превышено максимальное количество извещателей</v>
      </c>
      <c r="I63" s="141"/>
      <c r="J63" s="142"/>
      <c r="K63" s="35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5">
      <c r="A64" s="3"/>
      <c r="B64" s="35"/>
      <c r="C64" s="85" t="s">
        <v>160</v>
      </c>
      <c r="D64" s="86">
        <f>SUM(H8:H22,H24:H34,H36:H52,H54:H57)</f>
        <v>0</v>
      </c>
      <c r="E64" s="35"/>
      <c r="F64" s="35"/>
      <c r="G64" s="35"/>
      <c r="H64" s="140" t="str">
        <f>Данные!E136</f>
        <v>Превышено максимальное количество модулей</v>
      </c>
      <c r="I64" s="141"/>
      <c r="J64" s="142"/>
      <c r="K64" s="35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5">
      <c r="A65" s="3"/>
      <c r="B65" s="35"/>
      <c r="C65" s="83" t="s">
        <v>161</v>
      </c>
      <c r="D65" s="84">
        <f>D64+SUM(J8:J22,J24:J34,J36:J52,J54:J57)+D97</f>
        <v>0</v>
      </c>
      <c r="E65" s="87" t="str">
        <f>IF(Данные!D132,"&gt;"&amp;D66," ")</f>
        <v xml:space="preserve"> </v>
      </c>
      <c r="F65" s="35"/>
      <c r="G65" s="35"/>
      <c r="H65" s="140" t="str">
        <f>Данные!E138</f>
        <v>Ошибка расчета искробезопасных извещателей</v>
      </c>
      <c r="I65" s="141"/>
      <c r="J65" s="142"/>
      <c r="K65" s="35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5">
      <c r="A66" s="3"/>
      <c r="B66" s="35"/>
      <c r="C66" s="85" t="s">
        <v>162</v>
      </c>
      <c r="D66" s="88">
        <f>INT(Данные!D108/D61*D60)</f>
        <v>222</v>
      </c>
      <c r="E66" s="35"/>
      <c r="F66" s="35"/>
      <c r="G66" s="35"/>
      <c r="H66" s="140" t="str">
        <f>Данные!E141</f>
        <v>Изоляторов больше, чем устройств данного типа</v>
      </c>
      <c r="I66" s="141"/>
      <c r="J66" s="142"/>
      <c r="K66" s="35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5">
      <c r="A67" s="3"/>
      <c r="B67" s="35"/>
      <c r="C67" s="134" t="s">
        <v>449</v>
      </c>
      <c r="D67" s="135">
        <f>D66-D65</f>
        <v>222</v>
      </c>
      <c r="E67" s="35"/>
      <c r="F67" s="35"/>
      <c r="G67" s="35"/>
      <c r="H67" s="140" t="str">
        <f>Данные!E142</f>
        <v>Указано больше ВУОСов, чем извещателей</v>
      </c>
      <c r="I67" s="141"/>
      <c r="J67" s="142"/>
      <c r="K67" s="35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5">
      <c r="A68" s="3"/>
      <c r="B68" s="35"/>
      <c r="C68" s="1"/>
      <c r="D68" s="1"/>
      <c r="E68" s="1"/>
      <c r="F68" s="35"/>
      <c r="G68" s="35"/>
      <c r="H68" s="140" t="str">
        <f>Данные!E143</f>
        <v>Указано больше пультов, чем 6500(S)</v>
      </c>
      <c r="I68" s="141"/>
      <c r="J68" s="142"/>
      <c r="K68" s="35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5">
      <c r="A69" s="3"/>
      <c r="B69" s="35"/>
      <c r="C69" s="35" t="s">
        <v>163</v>
      </c>
      <c r="D69" s="35"/>
      <c r="E69" s="35"/>
      <c r="F69" s="35"/>
      <c r="G69" s="35"/>
      <c r="H69" s="1"/>
      <c r="I69" s="1"/>
      <c r="J69" s="1"/>
      <c r="K69" s="35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5">
      <c r="A70" s="3"/>
      <c r="B70" s="35"/>
      <c r="C70" s="85" t="s">
        <v>164</v>
      </c>
      <c r="D70" s="88">
        <v>152</v>
      </c>
      <c r="E70" s="35"/>
      <c r="F70" s="35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5">
      <c r="A71" s="3"/>
      <c r="B71" s="35"/>
      <c r="C71" s="83" t="s">
        <v>165</v>
      </c>
      <c r="D71" s="84">
        <f>D64*Данные!D68+D70</f>
        <v>152</v>
      </c>
      <c r="E71" s="35"/>
      <c r="F71" s="35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5">
      <c r="A72" s="3"/>
      <c r="B72" s="35"/>
      <c r="C72" s="85" t="s">
        <v>287</v>
      </c>
      <c r="D72" s="89">
        <f>D65*Данные!D68+D70</f>
        <v>152</v>
      </c>
      <c r="E72" s="35"/>
      <c r="F72" s="35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5">
      <c r="A73" s="3"/>
      <c r="B73" s="35"/>
      <c r="C73" s="83" t="str">
        <f>"Ёмкость АКБ, необходимая для выполнения правила "&amp;Данные!D93&amp;"+"&amp;Данные!D94&amp;", Ач"</f>
        <v>Ёмкость АКБ, необходимая для выполнения правила 24+3, Ач</v>
      </c>
      <c r="D73" s="90">
        <f>(D71*Данные!D93+D72*Данные!D94)*Данные!D92/1000</f>
        <v>5.13</v>
      </c>
      <c r="E73" s="35"/>
      <c r="F73" s="35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5">
      <c r="A74" s="3"/>
      <c r="B74" s="35"/>
      <c r="C74" s="85" t="s">
        <v>166</v>
      </c>
      <c r="D74" s="91">
        <f>IF(D73&lt;7,7,IF(D73&lt;12,12,IF(D73&lt;17,17,IF(D73&lt;24,"2 х 12","Более 24"))))</f>
        <v>7</v>
      </c>
      <c r="E74" s="92"/>
      <c r="F74" s="35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5">
      <c r="A75" s="3"/>
      <c r="B75" s="35"/>
      <c r="C75" s="35"/>
      <c r="D75" s="35"/>
      <c r="E75" s="35"/>
      <c r="F75" s="35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41.25" customHeight="1" x14ac:dyDescent="0.25">
      <c r="A76" s="3"/>
      <c r="B76" s="35"/>
      <c r="C76" s="35" t="s">
        <v>168</v>
      </c>
      <c r="D76" s="35"/>
      <c r="E76" s="35"/>
      <c r="F76" s="35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39" x14ac:dyDescent="0.25">
      <c r="A77" s="3"/>
      <c r="B77" s="35"/>
      <c r="C77" s="93" t="s">
        <v>230</v>
      </c>
      <c r="D77" s="94" t="s">
        <v>175</v>
      </c>
      <c r="E77" s="95" t="s">
        <v>174</v>
      </c>
      <c r="F77" s="35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5">
      <c r="A78" s="3"/>
      <c r="B78" s="35"/>
      <c r="C78" s="136">
        <v>0.75</v>
      </c>
      <c r="D78" s="99">
        <f>MIN(Данные!D$98+Данные!D$99*Данные!D$100,(Данные!D$104/E78*(1-Данные!D$103/100))*1000)</f>
        <v>6000</v>
      </c>
      <c r="E78" s="119">
        <f>Данные!D$101*Данные!D$102/C78</f>
        <v>48</v>
      </c>
      <c r="F78" s="35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x14ac:dyDescent="0.25">
      <c r="A79" s="3"/>
      <c r="B79" s="35"/>
      <c r="C79" s="96">
        <v>1</v>
      </c>
      <c r="D79" s="97">
        <f>MIN(Данные!D$98+Данные!D$99*Данные!D$100,(Данные!D$104/E79*(1-Данные!D$103/100))*1000)</f>
        <v>6000</v>
      </c>
      <c r="E79" s="118">
        <f>Данные!D$101*Данные!D$102/C79</f>
        <v>36</v>
      </c>
      <c r="F79" s="35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5">
      <c r="A80" s="3"/>
      <c r="B80" s="35"/>
      <c r="C80" s="98">
        <v>1.5</v>
      </c>
      <c r="D80" s="99">
        <f>MIN(Данные!D$98+Данные!D$99*Данные!D$100,(Данные!D$104/E80*(1-Данные!D$103/100))*1000)</f>
        <v>6000</v>
      </c>
      <c r="E80" s="119">
        <f>Данные!D$101*Данные!D$102/C80</f>
        <v>24</v>
      </c>
      <c r="F80" s="35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5">
      <c r="A81" s="3"/>
      <c r="B81" s="35"/>
      <c r="C81" s="100">
        <v>2</v>
      </c>
      <c r="D81" s="97">
        <f>MIN(Данные!D$98+Данные!D$99*Данные!D$100,(Данные!D$104/E81*(1-Данные!D$103/100))*1000)</f>
        <v>6000</v>
      </c>
      <c r="E81" s="118">
        <f>Данные!D$101*Данные!D$102/C81</f>
        <v>18</v>
      </c>
      <c r="F81" s="35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5">
      <c r="A82" s="3"/>
      <c r="B82" s="35"/>
      <c r="C82" s="98">
        <v>2.5</v>
      </c>
      <c r="D82" s="99">
        <f>MIN(Данные!D$98+Данные!D$99*Данные!D$100,(Данные!D$104/E82*(1-Данные!D$103/100))*1000)</f>
        <v>6000</v>
      </c>
      <c r="E82" s="119">
        <f>Данные!D$101*Данные!D$102/C82</f>
        <v>14.4</v>
      </c>
      <c r="F82" s="35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5">
      <c r="A83" s="3"/>
      <c r="B83" s="35"/>
      <c r="C83" s="35"/>
      <c r="D83" s="35"/>
      <c r="E83" s="35"/>
      <c r="F83" s="35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5">
      <c r="A84" s="3"/>
      <c r="B84" s="35"/>
      <c r="C84" s="35" t="s">
        <v>169</v>
      </c>
      <c r="D84" s="35"/>
      <c r="E84" s="35"/>
      <c r="F84" s="35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5">
      <c r="A85" s="3"/>
      <c r="B85" s="35"/>
      <c r="C85" s="101" t="s">
        <v>170</v>
      </c>
      <c r="D85" s="102">
        <f>SUM(D8:D22,D24:D34,D36:D52)</f>
        <v>0</v>
      </c>
      <c r="E85" s="35"/>
      <c r="F85" s="35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5">
      <c r="A86" s="3"/>
      <c r="B86" s="35"/>
      <c r="C86" s="103" t="s">
        <v>171</v>
      </c>
      <c r="D86" s="104">
        <f>MIN(SUM(D8:D18),60)+D87</f>
        <v>0</v>
      </c>
      <c r="E86" s="87" t="str">
        <f>IF(Данные!D134,"&gt;"&amp;Данные!D119," ")</f>
        <v xml:space="preserve"> </v>
      </c>
      <c r="F86" s="35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5">
      <c r="A87" s="3"/>
      <c r="B87" s="35"/>
      <c r="C87" s="101" t="s">
        <v>282</v>
      </c>
      <c r="D87" s="105">
        <f>SUM(D19:D20,2*D21,2*D22)+MAX(SUM(D8:D18)-60,0)</f>
        <v>0</v>
      </c>
      <c r="E87" s="87" t="str">
        <f>IF(Данные!D135,"&gt;"&amp;Данные!D120," ")</f>
        <v xml:space="preserve"> </v>
      </c>
      <c r="F87" s="35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5">
      <c r="A88" s="3"/>
      <c r="B88" s="35"/>
      <c r="C88" s="103" t="s">
        <v>283</v>
      </c>
      <c r="D88" s="104">
        <f>MIN(SUM(D24:D29,2*D30,3*D31,D32:D33,D36:D52,5*D34),60)+D89</f>
        <v>0</v>
      </c>
      <c r="E88" s="87" t="str">
        <f>IF(Данные!D136,"&gt;"&amp;Данные!D119," ")</f>
        <v xml:space="preserve"> </v>
      </c>
      <c r="F88" s="35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5">
      <c r="A89" s="3"/>
      <c r="B89" s="35"/>
      <c r="C89" s="101" t="s">
        <v>284</v>
      </c>
      <c r="D89" s="105">
        <f>SUM(D20,2*D21,2*D22)+MAX(SUM(D24:D29,2*D30,3*D31,D32:D33,D36:D52,5*D34)-60,0)</f>
        <v>0</v>
      </c>
      <c r="E89" s="87" t="str">
        <f>IF(Данные!D137,"&gt;"&amp;Данные!D120," ")</f>
        <v xml:space="preserve"> </v>
      </c>
      <c r="F89" s="35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5">
      <c r="A90" s="3"/>
      <c r="B90" s="35"/>
      <c r="C90" s="103" t="s">
        <v>172</v>
      </c>
      <c r="D90" s="104">
        <f>SUM(Данные!I8:I53)</f>
        <v>0</v>
      </c>
      <c r="E90" s="35"/>
      <c r="F90" s="35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5">
      <c r="A91" s="3"/>
      <c r="B91" s="35"/>
      <c r="C91" s="101" t="s">
        <v>173</v>
      </c>
      <c r="D91" s="105">
        <f>D19</f>
        <v>0</v>
      </c>
      <c r="E91" s="106"/>
      <c r="F91" s="92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5">
      <c r="A92" s="3"/>
      <c r="B92" s="35"/>
      <c r="C92" s="103" t="s">
        <v>228</v>
      </c>
      <c r="D92" s="139">
        <f>IF(AND(D56=0,D19&gt;0),"ОШИБКА",D19/MAX(1,D56))</f>
        <v>0</v>
      </c>
      <c r="E92" s="35"/>
      <c r="F92" s="35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5">
      <c r="A93" s="3"/>
      <c r="B93" s="35"/>
      <c r="C93" s="35"/>
      <c r="D93" s="35"/>
      <c r="E93" s="87" t="str">
        <f>IF(AND(Данные!D140,NOT(Данные!D138)),"&gt;"&amp;Данные!D126,IF(Данные!D139,"&lt;1",""))</f>
        <v/>
      </c>
      <c r="F93" s="35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5">
      <c r="A94" s="3"/>
      <c r="B94" s="35"/>
      <c r="C94" s="35" t="s">
        <v>176</v>
      </c>
      <c r="D94" s="36"/>
      <c r="E94" s="35"/>
      <c r="F94" s="35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5">
      <c r="A95" s="3"/>
      <c r="B95" s="35"/>
      <c r="C95" s="33" t="s">
        <v>227</v>
      </c>
      <c r="D95" s="138">
        <f>SUM(J8:J22,J24:J32,J54:J55)</f>
        <v>0</v>
      </c>
      <c r="E95" s="36"/>
      <c r="F95" s="35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5">
      <c r="A96" s="3"/>
      <c r="B96" s="35"/>
      <c r="C96" s="31" t="s">
        <v>346</v>
      </c>
      <c r="D96" s="32">
        <f>SUM(J36:J52)</f>
        <v>0</v>
      </c>
      <c r="E96" s="35"/>
      <c r="F96" s="35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5">
      <c r="A97" s="3"/>
      <c r="B97" s="35"/>
      <c r="C97" s="33" t="s">
        <v>177</v>
      </c>
      <c r="D97" s="34">
        <f>IF(Данные!D63=Данные!D115,MIN(2,D90)*Данные!D109,0)</f>
        <v>0</v>
      </c>
      <c r="E97" s="35"/>
      <c r="F97" s="35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5">
      <c r="A98" s="3"/>
      <c r="B98" s="35"/>
      <c r="C98" s="31" t="s">
        <v>178</v>
      </c>
      <c r="D98" s="32">
        <f>SUMPRODUCT(Данные!H8:H53,Данные!I8:I53)</f>
        <v>0</v>
      </c>
      <c r="E98" s="35"/>
      <c r="F98" s="35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5">
      <c r="A99" s="3"/>
      <c r="B99" s="3"/>
      <c r="C99" s="101" t="s">
        <v>248</v>
      </c>
      <c r="D99" s="123">
        <f>IF(D90&gt;0,FLOOR(Nu/Ni,0.1),0)</f>
        <v>0</v>
      </c>
      <c r="E99" s="3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5">
      <c r="A100" s="3"/>
      <c r="B100" s="3"/>
      <c r="C100" s="1"/>
      <c r="D100" s="1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7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7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7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7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7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7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7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7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7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7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7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7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7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7" x14ac:dyDescent="0.25">
      <c r="A158" s="51"/>
      <c r="B158" s="50" t="s">
        <v>261</v>
      </c>
      <c r="C158" s="50"/>
      <c r="D158" s="50"/>
      <c r="E158" s="50"/>
      <c r="F158" s="50"/>
      <c r="G158" s="50"/>
      <c r="H158" s="50"/>
      <c r="I158" s="50"/>
      <c r="J158" s="50"/>
      <c r="K158" s="50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0"/>
    </row>
    <row r="159" spans="1:27" x14ac:dyDescent="0.25">
      <c r="A159" s="51"/>
      <c r="B159" s="46" t="s">
        <v>336</v>
      </c>
      <c r="C159" t="s">
        <v>356</v>
      </c>
      <c r="D159" s="50"/>
      <c r="E159" s="50"/>
      <c r="F159" s="50"/>
      <c r="G159" s="50"/>
      <c r="H159" s="50"/>
      <c r="I159" s="50"/>
      <c r="J159" s="50"/>
      <c r="K159" s="50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0"/>
    </row>
    <row r="160" spans="1:27" x14ac:dyDescent="0.25">
      <c r="A160" s="51"/>
      <c r="B160" s="50" t="s">
        <v>377</v>
      </c>
      <c r="C160" s="50" t="s">
        <v>378</v>
      </c>
      <c r="D160" s="50"/>
      <c r="E160" s="50"/>
      <c r="F160" s="50"/>
      <c r="G160" s="50"/>
      <c r="H160" s="50"/>
      <c r="I160" s="50"/>
      <c r="J160" s="50"/>
      <c r="K160" s="50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0"/>
    </row>
    <row r="161" spans="1:27" x14ac:dyDescent="0.25">
      <c r="A161" s="51"/>
      <c r="B161" s="50" t="s">
        <v>383</v>
      </c>
      <c r="C161" s="50" t="s">
        <v>385</v>
      </c>
      <c r="D161" s="50"/>
      <c r="E161" s="50"/>
      <c r="F161" s="50"/>
      <c r="G161" s="50"/>
      <c r="H161" s="50"/>
      <c r="I161" s="50"/>
      <c r="J161" s="50"/>
      <c r="K161" s="50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0"/>
    </row>
    <row r="162" spans="1:27" x14ac:dyDescent="0.25">
      <c r="A162" s="51"/>
      <c r="B162" s="50" t="s">
        <v>419</v>
      </c>
      <c r="C162" s="50" t="s">
        <v>420</v>
      </c>
      <c r="D162" s="50"/>
      <c r="E162" s="50"/>
      <c r="F162" s="50"/>
      <c r="G162" s="50"/>
      <c r="H162" s="50"/>
      <c r="I162" s="50"/>
      <c r="J162" s="50"/>
      <c r="K162" s="50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0"/>
    </row>
    <row r="163" spans="1:27" x14ac:dyDescent="0.25">
      <c r="A163" s="51"/>
      <c r="B163" s="50" t="s">
        <v>480</v>
      </c>
      <c r="C163" s="50" t="s">
        <v>484</v>
      </c>
      <c r="D163" s="50"/>
      <c r="E163" s="50"/>
      <c r="F163" s="50"/>
      <c r="G163" s="50"/>
      <c r="H163" s="50"/>
      <c r="I163" s="50"/>
      <c r="J163" s="50"/>
      <c r="K163" s="50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0"/>
    </row>
    <row r="164" spans="1:27" x14ac:dyDescent="0.25">
      <c r="A164" s="51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0"/>
    </row>
    <row r="165" spans="1:27" x14ac:dyDescent="0.25">
      <c r="A165" s="51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0"/>
    </row>
    <row r="166" spans="1:27" x14ac:dyDescent="0.25">
      <c r="A166" s="51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0"/>
    </row>
    <row r="167" spans="1:27" x14ac:dyDescent="0.25">
      <c r="A167" s="51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0"/>
    </row>
    <row r="168" spans="1:27" x14ac:dyDescent="0.25">
      <c r="A168" s="51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0"/>
    </row>
    <row r="169" spans="1:27" x14ac:dyDescent="0.25">
      <c r="A169" s="51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0"/>
    </row>
    <row r="170" spans="1:27" x14ac:dyDescent="0.25">
      <c r="A170" s="51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0"/>
    </row>
    <row r="171" spans="1:27" x14ac:dyDescent="0.25">
      <c r="A171" s="51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0"/>
    </row>
    <row r="172" spans="1:27" x14ac:dyDescent="0.25">
      <c r="A172" s="51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0"/>
    </row>
    <row r="173" spans="1:27" x14ac:dyDescent="0.25">
      <c r="A173" s="51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0"/>
    </row>
    <row r="174" spans="1:27" x14ac:dyDescent="0.25">
      <c r="A174" s="51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0"/>
    </row>
    <row r="175" spans="1:27" x14ac:dyDescent="0.25">
      <c r="A175" s="51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0"/>
    </row>
    <row r="176" spans="1:27" x14ac:dyDescent="0.25">
      <c r="A176" s="51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0"/>
    </row>
    <row r="177" spans="1:27" x14ac:dyDescent="0.25">
      <c r="A177" s="51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0"/>
    </row>
    <row r="178" spans="1:27" x14ac:dyDescent="0.25">
      <c r="A178" s="51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0"/>
    </row>
    <row r="179" spans="1:27" x14ac:dyDescent="0.25">
      <c r="A179" s="51"/>
      <c r="B179" s="51"/>
      <c r="C179" s="50"/>
      <c r="D179" s="50"/>
      <c r="E179" s="50"/>
      <c r="F179" s="50"/>
      <c r="G179" s="50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0"/>
    </row>
    <row r="180" spans="1:27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0"/>
    </row>
    <row r="181" spans="1:27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0"/>
    </row>
    <row r="182" spans="1:27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0"/>
    </row>
    <row r="183" spans="1:27" x14ac:dyDescent="0.25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0"/>
    </row>
    <row r="184" spans="1:27" x14ac:dyDescent="0.25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0"/>
    </row>
    <row r="185" spans="1:27" x14ac:dyDescent="0.25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0"/>
    </row>
    <row r="186" spans="1:27" x14ac:dyDescent="0.25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0"/>
    </row>
    <row r="187" spans="1:27" x14ac:dyDescent="0.25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0"/>
    </row>
    <row r="188" spans="1:27" x14ac:dyDescent="0.25">
      <c r="A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</row>
  </sheetData>
  <sheetProtection password="DF98" sheet="1" objects="1" scenarios="1"/>
  <mergeCells count="63">
    <mergeCell ref="B41:C41"/>
    <mergeCell ref="B43:C43"/>
    <mergeCell ref="H60:J60"/>
    <mergeCell ref="H61:J61"/>
    <mergeCell ref="B45:C45"/>
    <mergeCell ref="B47:C47"/>
    <mergeCell ref="B49:C49"/>
    <mergeCell ref="B51:C51"/>
    <mergeCell ref="B57:C57"/>
    <mergeCell ref="H67:J67"/>
    <mergeCell ref="H68:J68"/>
    <mergeCell ref="B15:C15"/>
    <mergeCell ref="B21:C21"/>
    <mergeCell ref="B22:C22"/>
    <mergeCell ref="B23:I23"/>
    <mergeCell ref="B24:C24"/>
    <mergeCell ref="B16:C16"/>
    <mergeCell ref="B17:C17"/>
    <mergeCell ref="B18:C18"/>
    <mergeCell ref="B19:C19"/>
    <mergeCell ref="B20:C20"/>
    <mergeCell ref="B25:C25"/>
    <mergeCell ref="H62:J62"/>
    <mergeCell ref="H63:J63"/>
    <mergeCell ref="H64:J64"/>
    <mergeCell ref="B14:C14"/>
    <mergeCell ref="C3:K3"/>
    <mergeCell ref="B6:C6"/>
    <mergeCell ref="B7:I7"/>
    <mergeCell ref="B8:C8"/>
    <mergeCell ref="B9:C9"/>
    <mergeCell ref="C2:I2"/>
    <mergeCell ref="B35:I35"/>
    <mergeCell ref="B36:C36"/>
    <mergeCell ref="B38:C38"/>
    <mergeCell ref="B31:C31"/>
    <mergeCell ref="B37:C37"/>
    <mergeCell ref="B33:C33"/>
    <mergeCell ref="B27:C27"/>
    <mergeCell ref="B28:C28"/>
    <mergeCell ref="B29:C29"/>
    <mergeCell ref="B30:C30"/>
    <mergeCell ref="B26:C26"/>
    <mergeCell ref="B10:C10"/>
    <mergeCell ref="B11:C11"/>
    <mergeCell ref="B12:C12"/>
    <mergeCell ref="B13:C13"/>
    <mergeCell ref="H65:J65"/>
    <mergeCell ref="H66:J66"/>
    <mergeCell ref="B32:C32"/>
    <mergeCell ref="B40:C40"/>
    <mergeCell ref="B56:C56"/>
    <mergeCell ref="B34:C34"/>
    <mergeCell ref="B54:C54"/>
    <mergeCell ref="B55:C55"/>
    <mergeCell ref="B53:I53"/>
    <mergeCell ref="B52:C52"/>
    <mergeCell ref="B50:C50"/>
    <mergeCell ref="B48:C48"/>
    <mergeCell ref="B46:C46"/>
    <mergeCell ref="B44:C44"/>
    <mergeCell ref="B42:C42"/>
    <mergeCell ref="B39:C39"/>
  </mergeCells>
  <conditionalFormatting sqref="B8:J22 B36:K52 B54:J57 K34 K19 K8:K17 B24:J34 K24:K26">
    <cfRule type="expression" dxfId="31" priority="453">
      <formula>$D8&gt;0</formula>
    </cfRule>
  </conditionalFormatting>
  <conditionalFormatting sqref="F8:H22 J8:J22 D95:D96 D98 F36:H52 J36:J52 F54:H57 J54:J57 J24:J34 F24:H34">
    <cfRule type="expression" dxfId="30" priority="4">
      <formula>D8&gt;0</formula>
    </cfRule>
  </conditionalFormatting>
  <conditionalFormatting sqref="K18 K20:K22 K27:K33">
    <cfRule type="expression" dxfId="29" priority="454">
      <formula>$K18&gt;0</formula>
    </cfRule>
  </conditionalFormatting>
  <conditionalFormatting sqref="K18 K20:K22 B18 B20:C22 K27:K33 B27:C33">
    <cfRule type="expression" dxfId="28" priority="387">
      <formula>$K18&gt;$D18</formula>
    </cfRule>
  </conditionalFormatting>
  <dataValidations count="2">
    <dataValidation type="whole" allowBlank="1" showInputMessage="1" showErrorMessage="1" error="Количество изоляторов превышает количество устройств!" sqref="K27:K33 K18 K20:K22">
      <formula1>0</formula1>
      <formula2>D18</formula2>
    </dataValidation>
    <dataValidation allowBlank="1" showInputMessage="1" showErrorMessage="1" error="Введите значение из выпадающего списка!" sqref="L32:L33"/>
  </dataValidations>
  <pageMargins left="0.7" right="0.7" top="0.75" bottom="0.75" header="0.3" footer="0.3"/>
  <pageSetup paperSize="8" scale="31" orientation="portrait" r:id="rId1"/>
  <drawing r:id="rId2"/>
  <legacyDrawing r:id="rId3"/>
  <oleObjects>
    <mc:AlternateContent xmlns:mc="http://schemas.openxmlformats.org/markup-compatibility/2006">
      <mc:Choice Requires="x14">
        <oleObject progId="CorelDraw.Graphic.17" shapeId="1027" r:id="rId4">
          <objectPr defaultSize="0" autoPict="0" r:id="rId5">
            <anchor moveWithCells="1">
              <from>
                <xdr:col>1</xdr:col>
                <xdr:colOff>0</xdr:colOff>
                <xdr:row>0</xdr:row>
                <xdr:rowOff>85725</xdr:rowOff>
              </from>
              <to>
                <xdr:col>2</xdr:col>
                <xdr:colOff>1847850</xdr:colOff>
                <xdr:row>2</xdr:row>
                <xdr:rowOff>76200</xdr:rowOff>
              </to>
            </anchor>
          </objectPr>
        </oleObject>
      </mc:Choice>
      <mc:Fallback>
        <oleObject progId="CorelDraw.Graphic.17" shapeId="1027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83" id="{2FF0D405-4841-4675-B03B-ED47418F47F8}">
            <xm:f>$D$60&lt;&gt;Данные!$D$84</xm:f>
            <x14:dxf>
              <fill>
                <patternFill>
                  <bgColor rgb="FFFFFF00"/>
                </patternFill>
              </fill>
            </x14:dxf>
          </x14:cfRule>
          <xm:sqref>C60:D60</xm:sqref>
        </x14:conditionalFormatting>
        <x14:conditionalFormatting xmlns:xm="http://schemas.microsoft.com/office/excel/2006/main">
          <x14:cfRule type="expression" priority="384" id="{5912AFE8-262F-4960-8572-C9398D439CFD}">
            <xm:f>$D$61=Данные!$D$88</xm:f>
            <x14:dxf>
              <fill>
                <patternFill>
                  <bgColor rgb="FFFFFF00"/>
                </patternFill>
              </fill>
            </x14:dxf>
          </x14:cfRule>
          <xm:sqref>C61:D61</xm:sqref>
        </x14:conditionalFormatting>
        <x14:conditionalFormatting xmlns:xm="http://schemas.microsoft.com/office/excel/2006/main">
          <x14:cfRule type="expression" priority="450" id="{D23FC65E-D2CE-4629-9463-21D2A8A50908}">
            <xm:f>Данные!$D$143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H68:J68</xm:sqref>
        </x14:conditionalFormatting>
        <x14:conditionalFormatting xmlns:xm="http://schemas.microsoft.com/office/excel/2006/main">
          <x14:cfRule type="expression" priority="2" id="{52E32534-3E3C-4226-89E1-939B11044CB2}">
            <xm:f>AND($L36&lt;&gt;Данные!$J$95,$D36&gt;0)</xm:f>
            <x14:dxf>
              <fill>
                <patternFill>
                  <bgColor rgb="FFFFFF00"/>
                </patternFill>
              </fill>
            </x14:dxf>
          </x14:cfRule>
          <xm:sqref>L36 L38 L40 L42 L44 L46 L48 L50</xm:sqref>
        </x14:conditionalFormatting>
        <x14:conditionalFormatting xmlns:xm="http://schemas.microsoft.com/office/excel/2006/main">
          <x14:cfRule type="expression" priority="1" id="{06F7D123-41D3-4CBD-8FE7-F86FA791D75C}">
            <xm:f>AND($L37&lt;&gt;Данные!$J$63,$D37&gt;0)</xm:f>
            <x14:dxf>
              <fill>
                <patternFill>
                  <bgColor rgb="FFFFFF00"/>
                </patternFill>
              </fill>
            </x14:dxf>
          </x14:cfRule>
          <xm:sqref>L37 L39 L41 L43 L45 L47 L49 L51</xm:sqref>
        </x14:conditionalFormatting>
        <x14:conditionalFormatting xmlns:xm="http://schemas.microsoft.com/office/excel/2006/main">
          <x14:cfRule type="expression" priority="465" id="{6DEE563D-2307-49D8-BFC9-018A62CEC8A2}">
            <xm:f>Данные!$D$136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H64 D88</xm:sqref>
        </x14:conditionalFormatting>
        <x14:conditionalFormatting xmlns:xm="http://schemas.microsoft.com/office/excel/2006/main">
          <x14:cfRule type="expression" priority="467" id="{D0251952-6D21-4A94-9B33-C86778BC5382}">
            <xm:f>AND($D19&gt;0,Данные!$D$135)</xm:f>
            <x14:dxf>
              <font>
                <b/>
                <i val="0"/>
                <color theme="0" tint="-0.14993743705557422"/>
              </font>
              <fill>
                <patternFill>
                  <bgColor rgb="FFFF0000"/>
                </patternFill>
              </fill>
            </x14:dxf>
          </x14:cfRule>
          <xm:sqref>D19:D22</xm:sqref>
        </x14:conditionalFormatting>
        <x14:conditionalFormatting xmlns:xm="http://schemas.microsoft.com/office/excel/2006/main">
          <x14:cfRule type="expression" priority="521" id="{6DEE563D-2307-49D8-BFC9-018A62CEC8A2}">
            <xm:f>Данные!$D$134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H63 D86</xm:sqref>
        </x14:conditionalFormatting>
        <x14:conditionalFormatting xmlns:xm="http://schemas.microsoft.com/office/excel/2006/main">
          <x14:cfRule type="expression" priority="523" id="{206E0B98-5641-4D74-8C0D-E72E67902016}">
            <xm:f>Данные!$D$132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H61 D65</xm:sqref>
        </x14:conditionalFormatting>
        <x14:conditionalFormatting xmlns:xm="http://schemas.microsoft.com/office/excel/2006/main">
          <x14:cfRule type="expression" priority="525" id="{6DEE563D-2307-49D8-BFC9-018A62CEC8A2}">
            <xm:f>Данные!$D$137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H64 D89</xm:sqref>
        </x14:conditionalFormatting>
        <x14:conditionalFormatting xmlns:xm="http://schemas.microsoft.com/office/excel/2006/main">
          <x14:cfRule type="expression" priority="527" id="{D0251952-6D21-4A94-9B33-C86778BC5382}">
            <xm:f>AND($D20&gt;0,Данные!$D$136)</xm:f>
            <x14:dxf>
              <font>
                <b/>
                <i val="0"/>
                <color theme="0" tint="-0.14993743705557422"/>
              </font>
              <fill>
                <patternFill>
                  <bgColor rgb="FFFF0000"/>
                </patternFill>
              </fill>
            </x14:dxf>
          </x14:cfRule>
          <xm:sqref>D36:D52 D20:D22 D24:D34</xm:sqref>
        </x14:conditionalFormatting>
        <x14:conditionalFormatting xmlns:xm="http://schemas.microsoft.com/office/excel/2006/main">
          <x14:cfRule type="expression" priority="530" id="{785D56F8-A113-4847-8E1F-0EB69E713C31}">
            <xm:f>Данные!$D$131</xm:f>
            <x14:dxf>
              <font>
                <b/>
                <i val="0"/>
                <color auto="1"/>
              </font>
              <fill>
                <patternFill>
                  <bgColor rgb="FF00B050"/>
                </patternFill>
              </fill>
            </x14:dxf>
          </x14:cfRule>
          <xm:sqref>H60:J60</xm:sqref>
        </x14:conditionalFormatting>
        <x14:conditionalFormatting xmlns:xm="http://schemas.microsoft.com/office/excel/2006/main">
          <x14:cfRule type="expression" priority="531" id="{42982054-104B-47E9-B141-A3E0F20F4CDE}">
            <xm:f>Данные!$D$133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H62 D73:D74</xm:sqref>
        </x14:conditionalFormatting>
        <x14:conditionalFormatting xmlns:xm="http://schemas.microsoft.com/office/excel/2006/main">
          <x14:cfRule type="expression" priority="533" id="{FE0B6486-DF12-4B97-87A6-6E4FC572A6CF}">
            <xm:f>Данные!$D$135</xm:f>
            <x14:dxf>
              <font>
                <b/>
                <i val="0"/>
                <color auto="1"/>
              </font>
              <fill>
                <patternFill>
                  <fgColor auto="1"/>
                  <bgColor rgb="FFFF0000"/>
                </patternFill>
              </fill>
            </x14:dxf>
          </x14:cfRule>
          <xm:sqref>H63 D87</xm:sqref>
        </x14:conditionalFormatting>
        <x14:conditionalFormatting xmlns:xm="http://schemas.microsoft.com/office/excel/2006/main">
          <x14:cfRule type="expression" priority="535" id="{AD353A1C-F9E0-4D79-BD38-6A90D684E6B7}">
            <xm:f>AND($D8&gt;0,Данные!$D$134)</xm:f>
            <x14:dxf>
              <font>
                <b/>
                <i val="0"/>
                <color theme="0" tint="-0.14996795556505021"/>
              </font>
              <fill>
                <patternFill>
                  <bgColor rgb="FFFF0000"/>
                </patternFill>
              </fill>
            </x14:dxf>
          </x14:cfRule>
          <xm:sqref>D8:D22</xm:sqref>
        </x14:conditionalFormatting>
        <x14:conditionalFormatting xmlns:xm="http://schemas.microsoft.com/office/excel/2006/main">
          <x14:cfRule type="expression" priority="536" id="{E1E27979-507C-40A1-AE4B-9367B56AE02D}">
            <xm:f>AND($D20&gt;0,Данные!$D$137)</xm:f>
            <x14:dxf>
              <font>
                <b/>
                <i val="0"/>
                <color theme="0" tint="-0.14996795556505021"/>
              </font>
              <fill>
                <patternFill>
                  <bgColor rgb="FFFF0000"/>
                </patternFill>
              </fill>
            </x14:dxf>
          </x14:cfRule>
          <xm:sqref>D20:D22</xm:sqref>
        </x14:conditionalFormatting>
        <x14:conditionalFormatting xmlns:xm="http://schemas.microsoft.com/office/excel/2006/main">
          <x14:cfRule type="expression" priority="573" id="{D23FC65E-D2CE-4629-9463-21D2A8A50908}">
            <xm:f>Данные!$D$141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H66</xm:sqref>
        </x14:conditionalFormatting>
        <x14:conditionalFormatting xmlns:xm="http://schemas.microsoft.com/office/excel/2006/main">
          <x14:cfRule type="expression" priority="574" id="{D23FC65E-D2CE-4629-9463-21D2A8A50908}">
            <xm:f>Данные!$D$142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H67</xm:sqref>
        </x14:conditionalFormatting>
        <x14:conditionalFormatting xmlns:xm="http://schemas.microsoft.com/office/excel/2006/main">
          <x14:cfRule type="expression" priority="575" id="{2DF4A099-759B-4414-8240-3E95BC8B63B3}">
            <xm:f>OR(Данные!$D$138,Данные!$D$140)</xm:f>
            <x14:dxf>
              <fill>
                <patternFill>
                  <bgColor rgb="FFFF0000"/>
                </patternFill>
              </fill>
            </x14:dxf>
          </x14:cfRule>
          <xm:sqref>D56 D19</xm:sqref>
        </x14:conditionalFormatting>
        <x14:conditionalFormatting xmlns:xm="http://schemas.microsoft.com/office/excel/2006/main">
          <x14:cfRule type="expression" priority="595" id="{A52126F9-E54A-4C79-BD24-0696793C2AC1}">
            <xm:f>OR(Данные!$D$138,Данные!$D$140)</xm:f>
            <x14:dxf>
              <font>
                <b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14:cfRule type="expression" priority="596" id="{14901237-C3FE-4E52-B121-AD9313AE5D33}">
            <xm:f>Данные!$D$139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H65 D92</xm:sqref>
        </x14:conditionalFormatting>
        <x14:conditionalFormatting xmlns:xm="http://schemas.microsoft.com/office/excel/2006/main">
          <x14:cfRule type="expression" priority="599" id="{A59E1891-59DC-4D31-B942-17E1A1E13A42}">
            <xm:f>Данные!$D$139</xm:f>
            <x14:dxf>
              <fill>
                <patternFill patternType="lightUp">
                  <fgColor rgb="FFFFC000"/>
                </patternFill>
              </fill>
            </x14:dxf>
          </x14:cfRule>
          <xm:sqref>B56:J57</xm:sqref>
        </x14:conditionalFormatting>
        <x14:conditionalFormatting xmlns:xm="http://schemas.microsoft.com/office/excel/2006/main">
          <x14:cfRule type="expression" priority="600" id="{1F40FCEF-86F4-495A-BA15-A5258A88EA1B}">
            <xm:f>Данные!$D$142</xm:f>
            <x14:dxf>
              <fill>
                <patternFill patternType="solid">
                  <fgColor rgb="FFFFC000"/>
                  <bgColor rgb="FFFFC000"/>
                </patternFill>
              </fill>
            </x14:dxf>
          </x14:cfRule>
          <xm:sqref>B54:J54</xm:sqref>
        </x14:conditionalFormatting>
        <x14:conditionalFormatting xmlns:xm="http://schemas.microsoft.com/office/excel/2006/main">
          <x14:cfRule type="expression" priority="601" id="{F74B7C46-31E7-4376-8ECB-C28F187DA008}">
            <xm:f>Данные!$D$139</xm:f>
            <x14:dxf>
              <fill>
                <patternFill>
                  <bgColor rgb="FFFFC000"/>
                </patternFill>
              </fill>
            </x14:dxf>
          </x14:cfRule>
          <xm:sqref>D19</xm:sqref>
        </x14:conditionalFormatting>
        <x14:conditionalFormatting xmlns:xm="http://schemas.microsoft.com/office/excel/2006/main">
          <x14:cfRule type="expression" priority="603" id="{338945F6-E4D9-46C1-95A0-7067F6531F07}">
            <xm:f>Данные!$D$139</xm:f>
            <x14:dxf>
              <font>
                <color rgb="FFFFC000"/>
              </font>
            </x14:dxf>
          </x14:cfRule>
          <xm:sqref>E93</xm:sqref>
        </x14:conditionalFormatting>
        <x14:conditionalFormatting xmlns:xm="http://schemas.microsoft.com/office/excel/2006/main">
          <x14:cfRule type="expression" priority="604" id="{43AE2701-8AB3-4800-B364-18EE77D4169B}">
            <xm:f>AND(Данные!$D$142)</xm:f>
            <x14:dxf>
              <fill>
                <patternFill patternType="lightTrellis">
                  <fgColor rgb="FFFFC000"/>
                </patternFill>
              </fill>
            </x14:dxf>
          </x14:cfRule>
          <xm:sqref>D8:D17</xm:sqref>
        </x14:conditionalFormatting>
        <x14:conditionalFormatting xmlns:xm="http://schemas.microsoft.com/office/excel/2006/main">
          <x14:cfRule type="expression" priority="605" id="{F496A612-6DAE-409B-B91E-24689DA7235A}">
            <xm:f>Данные!$D$143</xm:f>
            <x14:dxf>
              <fill>
                <patternFill>
                  <bgColor rgb="FFFFC000"/>
                </patternFill>
              </fill>
            </x14:dxf>
          </x14:cfRule>
          <xm:sqref>B55:J55</xm:sqref>
        </x14:conditionalFormatting>
        <x14:conditionalFormatting xmlns:xm="http://schemas.microsoft.com/office/excel/2006/main">
          <x14:cfRule type="expression" priority="606" id="{2EA9ADF7-4FE3-45B4-B775-D8B52E2EC3A1}">
            <xm:f>Данные!$D$143</xm:f>
            <x14:dxf>
              <fill>
                <patternFill patternType="lightTrellis">
                  <fgColor rgb="FFFFC000"/>
                </patternFill>
              </fill>
            </x14:dxf>
          </x14:cfRule>
          <xm:sqref>D18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 error="Введите значение из выпадающего списка!">
          <x14:formula1>
            <xm:f>Данные!$J$63:$J$94</xm:f>
          </x14:formula1>
          <xm:sqref>L51</xm:sqref>
        </x14:dataValidation>
        <x14:dataValidation type="list" allowBlank="1" showInputMessage="1" showErrorMessage="1" error="Введите значение из выпадающего списка!">
          <x14:formula1>
            <xm:f>Данные!$J$63:$J$94</xm:f>
          </x14:formula1>
          <xm:sqref>L47 L39 L41 L43 L45</xm:sqref>
        </x14:dataValidation>
        <x14:dataValidation type="list" allowBlank="1" showInputMessage="1" showErrorMessage="1" error="Введите значение из выпадающего списка!">
          <x14:formula1>
            <xm:f>Данные!$J$63:$J$94</xm:f>
          </x14:formula1>
          <xm:sqref>L49</xm:sqref>
        </x14:dataValidation>
        <x14:dataValidation type="list" allowBlank="1" showInputMessage="1" showErrorMessage="1" error="Введите значение из выпадающего списка!">
          <x14:formula1>
            <xm:f>Данные!$J$95:$J$126</xm:f>
          </x14:formula1>
          <xm:sqref>L50</xm:sqref>
        </x14:dataValidation>
        <x14:dataValidation type="list" showInputMessage="1" showErrorMessage="1" error="Введите значение из выпадающего списка!">
          <x14:formula1>
            <xm:f>Данные!$J$63:$J$94</xm:f>
          </x14:formula1>
          <xm:sqref>L37</xm:sqref>
        </x14:dataValidation>
        <x14:dataValidation type="list" showInputMessage="1" showErrorMessage="1" error="Введите значение из выпадающего списка!">
          <x14:formula1>
            <xm:f>Данные!$J$95:$J$126</xm:f>
          </x14:formula1>
          <xm:sqref>L36</xm:sqref>
        </x14:dataValidation>
        <x14:dataValidation type="list" allowBlank="1" showInputMessage="1" showErrorMessage="1" error="Введите значение из выпадающего списка!">
          <x14:formula1>
            <xm:f>Данные!$D$83:$D$85</xm:f>
          </x14:formula1>
          <xm:sqref>D60</xm:sqref>
        </x14:dataValidation>
        <x14:dataValidation type="list" allowBlank="1" showInputMessage="1" showErrorMessage="1" error="Введите значение из выпадающего списка!">
          <x14:formula1>
            <xm:f>Данные!$D$88:$D$89</xm:f>
          </x14:formula1>
          <xm:sqref>D61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Данные!M26</xm:f>
          </x14:formula2>
          <xm:sqref>D56 D50 D48 D46 D44 D42 D40 D38 D36 D34 D52 D26:D32</xm:sqref>
        </x14:dataValidation>
        <x14:dataValidation type="whole" allowBlank="1" showErrorMessage="1" error="Превышено количество устройств данного типа! Сначала добавьте извещатели.">
          <x14:formula1>
            <xm:f>0</xm:f>
          </x14:formula1>
          <x14:formula2>
            <xm:f>Данные!M54</xm:f>
          </x14:formula2>
          <xm:sqref>D54:D55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Данные!M34</xm:f>
          </x14:formula2>
          <xm:sqref>D51 D33 D49 D47 D45 D43 D41 D39 D37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Данные!M25</xm:f>
          </x14:formula2>
          <xm:sqref>D25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Данные!M24</xm:f>
          </x14:formula2>
          <xm:sqref>D24</xm:sqref>
        </x14:dataValidation>
        <x14:dataValidation type="whole" allowBlank="1" showErrorMessage="1" error="Превышено максимальное количество устройств данного типа!">
          <x14:formula1>
            <xm:f>0</xm:f>
          </x14:formula1>
          <x14:formula2>
            <xm:f>Данные!M8</xm:f>
          </x14:formula2>
          <xm:sqref>D8:D22</xm:sqref>
        </x14:dataValidation>
        <x14:dataValidation type="list" allowBlank="1" showInputMessage="1" showErrorMessage="1">
          <x14:formula1>
            <xm:f>Данные!$J$95:$J$126</xm:f>
          </x14:formula1>
          <xm:sqref>L38 L40 L42 L44 L46 L48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S469"/>
  <sheetViews>
    <sheetView topLeftCell="D4" workbookViewId="0">
      <selection activeCell="J36" sqref="J36"/>
    </sheetView>
  </sheetViews>
  <sheetFormatPr defaultRowHeight="15" x14ac:dyDescent="0.25"/>
  <cols>
    <col min="1" max="1" width="1.7109375" customWidth="1"/>
    <col min="2" max="2" width="13.5703125" customWidth="1"/>
    <col min="3" max="3" width="68.5703125" customWidth="1"/>
    <col min="4" max="4" width="11.42578125" customWidth="1"/>
    <col min="5" max="14" width="17.140625" customWidth="1"/>
  </cols>
  <sheetData>
    <row r="5" spans="3:19" x14ac:dyDescent="0.25">
      <c r="C5" s="50"/>
      <c r="D5" s="51" t="s">
        <v>258</v>
      </c>
      <c r="E5" s="51"/>
      <c r="F5" s="51"/>
      <c r="G5" s="51"/>
      <c r="H5" s="51"/>
      <c r="I5" s="51"/>
      <c r="J5" s="51"/>
      <c r="K5" s="51"/>
      <c r="L5" s="51"/>
      <c r="M5" s="51"/>
      <c r="O5" t="s">
        <v>461</v>
      </c>
    </row>
    <row r="6" spans="3:19" ht="60" x14ac:dyDescent="0.25">
      <c r="C6" s="50"/>
      <c r="D6" s="52" t="s">
        <v>41</v>
      </c>
      <c r="E6" s="53" t="s">
        <v>77</v>
      </c>
      <c r="F6" s="53" t="s">
        <v>76</v>
      </c>
      <c r="G6" s="53" t="s">
        <v>75</v>
      </c>
      <c r="H6" s="53" t="s">
        <v>74</v>
      </c>
      <c r="I6" s="53" t="s">
        <v>250</v>
      </c>
      <c r="J6" s="53" t="s">
        <v>78</v>
      </c>
      <c r="K6" s="53" t="s">
        <v>38</v>
      </c>
      <c r="L6" s="53" t="s">
        <v>39</v>
      </c>
      <c r="M6" s="53" t="s">
        <v>40</v>
      </c>
      <c r="N6" s="53" t="s">
        <v>376</v>
      </c>
      <c r="O6" s="120" t="s">
        <v>435</v>
      </c>
      <c r="P6" s="121" t="s">
        <v>436</v>
      </c>
      <c r="Q6" s="121" t="s">
        <v>515</v>
      </c>
      <c r="R6" s="121"/>
      <c r="S6" s="122"/>
    </row>
    <row r="7" spans="3:19" x14ac:dyDescent="0.25">
      <c r="C7" s="50"/>
      <c r="D7" s="54" t="s">
        <v>42</v>
      </c>
      <c r="E7" s="55"/>
      <c r="F7" s="55"/>
      <c r="G7" s="55"/>
      <c r="H7" s="55"/>
      <c r="I7" s="55"/>
      <c r="J7" s="55"/>
      <c r="K7" s="55"/>
      <c r="L7" s="55"/>
      <c r="M7" s="56"/>
    </row>
    <row r="8" spans="3:19" x14ac:dyDescent="0.25">
      <c r="C8" s="50"/>
      <c r="D8" s="57" t="s">
        <v>43</v>
      </c>
      <c r="E8" s="58">
        <v>0.3</v>
      </c>
      <c r="F8" s="58">
        <v>3.5</v>
      </c>
      <c r="G8" s="58">
        <v>0</v>
      </c>
      <c r="H8" s="58">
        <v>0</v>
      </c>
      <c r="I8" s="58">
        <f>MIN(Расчет!D8,IF(Расчет!K8=Данные!$D$116,0,Расчет!K8))</f>
        <v>0</v>
      </c>
      <c r="J8" s="58">
        <f t="shared" ref="J8:J22" si="0">I8*H8</f>
        <v>0</v>
      </c>
      <c r="K8" s="58">
        <f>K18+Расчет!I18</f>
        <v>0</v>
      </c>
      <c r="L8" s="58">
        <v>2</v>
      </c>
      <c r="M8" s="73">
        <f>INT(Данные!$D$119/N8)</f>
        <v>159</v>
      </c>
      <c r="N8" s="79">
        <v>1</v>
      </c>
      <c r="O8" s="125">
        <f t="shared" ref="O8:O18" si="1">Nax-Nas</f>
        <v>159</v>
      </c>
      <c r="P8" s="125">
        <f>INT((dI-(5-K8-Расчет!I8)*(Расчет!F8+Расчет!G8))/Расчет!F8)+(5-K8-Расчет!I8)</f>
        <v>720</v>
      </c>
      <c r="Q8" s="125"/>
    </row>
    <row r="9" spans="3:19" x14ac:dyDescent="0.25">
      <c r="C9" s="50"/>
      <c r="D9" s="57" t="s">
        <v>44</v>
      </c>
      <c r="E9" s="58">
        <v>0.3</v>
      </c>
      <c r="F9" s="58">
        <v>3.5</v>
      </c>
      <c r="G9" s="58">
        <v>0.05</v>
      </c>
      <c r="H9" s="58">
        <v>0.13</v>
      </c>
      <c r="I9" s="58">
        <f>MIN(Расчет!D9,IF(Расчет!K9=Данные!$D$116,0,Расчет!K9))</f>
        <v>0</v>
      </c>
      <c r="J9" s="58">
        <f t="shared" si="0"/>
        <v>0</v>
      </c>
      <c r="K9" s="58">
        <f>K8+Расчет!I8</f>
        <v>0</v>
      </c>
      <c r="L9" s="58">
        <v>3</v>
      </c>
      <c r="M9" s="73">
        <f>INT(Данные!$D$119/N9)</f>
        <v>159</v>
      </c>
      <c r="N9" s="79">
        <v>1</v>
      </c>
      <c r="O9" s="125">
        <f t="shared" si="1"/>
        <v>159</v>
      </c>
      <c r="P9" s="125">
        <f>INT((dI-MAX(2-Расчет!$D$90,0)*15-(5-K9-Расчет!I9)*(Расчет!F9+Расчет!G9))/Расчет!F9)+(5-K9-Расчет!I9)</f>
        <v>527</v>
      </c>
      <c r="Q9" s="125"/>
    </row>
    <row r="10" spans="3:19" x14ac:dyDescent="0.25">
      <c r="C10" s="50"/>
      <c r="D10" s="57" t="s">
        <v>45</v>
      </c>
      <c r="E10" s="58">
        <v>0.3</v>
      </c>
      <c r="F10" s="58">
        <v>3.5</v>
      </c>
      <c r="G10" s="58">
        <v>0</v>
      </c>
      <c r="H10" s="58">
        <v>0</v>
      </c>
      <c r="I10" s="58">
        <f>MIN(Расчет!D10,IF(Расчет!K10=Данные!$D$116,0,Расчет!K10))</f>
        <v>0</v>
      </c>
      <c r="J10" s="58">
        <f t="shared" si="0"/>
        <v>0</v>
      </c>
      <c r="K10" s="58">
        <f>K9+Расчет!I9</f>
        <v>0</v>
      </c>
      <c r="L10" s="58">
        <v>4</v>
      </c>
      <c r="M10" s="73">
        <f>INT(Данные!$D$119/N10)</f>
        <v>159</v>
      </c>
      <c r="N10" s="79">
        <v>1</v>
      </c>
      <c r="O10" s="125">
        <f t="shared" si="1"/>
        <v>159</v>
      </c>
      <c r="P10" s="125">
        <f>INT((dI-(5-K10-Расчет!I10)*(Расчет!F10+Расчет!G10))/Расчет!F10)+(5-K10-Расчет!I10)</f>
        <v>720</v>
      </c>
      <c r="Q10" s="125"/>
    </row>
    <row r="11" spans="3:19" x14ac:dyDescent="0.25">
      <c r="C11" s="50"/>
      <c r="D11" s="57" t="s">
        <v>46</v>
      </c>
      <c r="E11" s="58">
        <v>0.3</v>
      </c>
      <c r="F11" s="58">
        <v>3.5</v>
      </c>
      <c r="G11" s="58">
        <v>0.05</v>
      </c>
      <c r="H11" s="58">
        <v>0.13</v>
      </c>
      <c r="I11" s="58">
        <f>MIN(Расчет!D11,IF(Расчет!K11=Данные!$D$116,0,Расчет!K11))</f>
        <v>0</v>
      </c>
      <c r="J11" s="58">
        <f t="shared" si="0"/>
        <v>0</v>
      </c>
      <c r="K11" s="58">
        <f>K10+Расчет!I10</f>
        <v>0</v>
      </c>
      <c r="L11" s="58">
        <v>5</v>
      </c>
      <c r="M11" s="73">
        <f>INT(Данные!$D$119/N11)</f>
        <v>159</v>
      </c>
      <c r="N11" s="79">
        <v>1</v>
      </c>
      <c r="O11" s="125">
        <f t="shared" si="1"/>
        <v>159</v>
      </c>
      <c r="P11" s="125">
        <f>INT((dI-MAX(2-Расчет!$D$90,0)*15-(5-K11-Расчет!I11)*(Расчет!F11+Расчет!G11))/Расчет!F11)+(5-K11-Расчет!I11)</f>
        <v>527</v>
      </c>
      <c r="Q11" s="125"/>
    </row>
    <row r="12" spans="3:19" x14ac:dyDescent="0.25">
      <c r="C12" s="50"/>
      <c r="D12" s="57" t="s">
        <v>47</v>
      </c>
      <c r="E12" s="58">
        <v>0.3</v>
      </c>
      <c r="F12" s="58">
        <v>3.5</v>
      </c>
      <c r="G12" s="58">
        <v>0</v>
      </c>
      <c r="H12" s="58">
        <v>0</v>
      </c>
      <c r="I12" s="58">
        <f>MIN(Расчет!D12,IF(Расчет!K12=Данные!$D$116,0,Расчет!K12))</f>
        <v>0</v>
      </c>
      <c r="J12" s="58">
        <f t="shared" si="0"/>
        <v>0</v>
      </c>
      <c r="K12" s="58">
        <f>K11+Расчет!I11</f>
        <v>0</v>
      </c>
      <c r="L12" s="58">
        <v>6</v>
      </c>
      <c r="M12" s="73">
        <f>INT(Данные!$D$119/N12)</f>
        <v>159</v>
      </c>
      <c r="N12" s="79">
        <v>1</v>
      </c>
      <c r="O12" s="125">
        <f t="shared" si="1"/>
        <v>159</v>
      </c>
      <c r="P12" s="125">
        <f>INT((dI-(5-K12-Расчет!I12)*(Расчет!F12+Расчет!G12))/Расчет!F12)+(5-K12-Расчет!I12)</f>
        <v>720</v>
      </c>
      <c r="Q12" s="125"/>
    </row>
    <row r="13" spans="3:19" x14ac:dyDescent="0.25">
      <c r="C13" s="50"/>
      <c r="D13" s="57" t="s">
        <v>48</v>
      </c>
      <c r="E13" s="58">
        <v>0.3</v>
      </c>
      <c r="F13" s="58">
        <v>3.5</v>
      </c>
      <c r="G13" s="58">
        <v>0.05</v>
      </c>
      <c r="H13" s="58">
        <v>0.13</v>
      </c>
      <c r="I13" s="58">
        <f>MIN(Расчет!D13,IF(Расчет!K13=Данные!$D$116,0,Расчет!K13))</f>
        <v>0</v>
      </c>
      <c r="J13" s="58">
        <f t="shared" si="0"/>
        <v>0</v>
      </c>
      <c r="K13" s="58">
        <f>K12+Расчет!I12</f>
        <v>0</v>
      </c>
      <c r="L13" s="58">
        <v>7</v>
      </c>
      <c r="M13" s="73">
        <f>INT(Данные!$D$119/N13)</f>
        <v>159</v>
      </c>
      <c r="N13" s="79">
        <v>1</v>
      </c>
      <c r="O13" s="125">
        <f t="shared" si="1"/>
        <v>159</v>
      </c>
      <c r="P13" s="125">
        <f>INT((dI-MAX(2-Расчет!$D$90,0)*15-(5-K13-Расчет!I13)*(Расчет!F13+Расчет!G13))/Расчет!F13)+(5-K13-Расчет!I13)</f>
        <v>527</v>
      </c>
      <c r="Q13" s="125"/>
    </row>
    <row r="14" spans="3:19" x14ac:dyDescent="0.25">
      <c r="C14" s="50"/>
      <c r="D14" s="57" t="s">
        <v>49</v>
      </c>
      <c r="E14" s="58">
        <v>0.3</v>
      </c>
      <c r="F14" s="58">
        <v>3.5</v>
      </c>
      <c r="G14" s="58">
        <v>0</v>
      </c>
      <c r="H14" s="58">
        <v>0</v>
      </c>
      <c r="I14" s="58">
        <f>MIN(Расчет!D14,IF(Расчет!K14=Данные!$D$116,0,Расчет!K14))</f>
        <v>0</v>
      </c>
      <c r="J14" s="58">
        <f t="shared" si="0"/>
        <v>0</v>
      </c>
      <c r="K14" s="58">
        <f>K13+Расчет!I13</f>
        <v>0</v>
      </c>
      <c r="L14" s="58">
        <v>8</v>
      </c>
      <c r="M14" s="73">
        <f>INT(Данные!$D$119/N14)</f>
        <v>159</v>
      </c>
      <c r="N14" s="79">
        <v>1</v>
      </c>
      <c r="O14" s="125">
        <f t="shared" si="1"/>
        <v>159</v>
      </c>
      <c r="P14" s="125">
        <f>INT((dI-(5-K14-Расчет!I14)*(Расчет!F14+Расчет!G14))/Расчет!F14)+(5-K14-Расчет!I14)</f>
        <v>720</v>
      </c>
      <c r="Q14" s="125"/>
    </row>
    <row r="15" spans="3:19" x14ac:dyDescent="0.25">
      <c r="C15" s="50"/>
      <c r="D15" s="57" t="s">
        <v>50</v>
      </c>
      <c r="E15" s="58">
        <v>0.3</v>
      </c>
      <c r="F15" s="58">
        <v>3.5</v>
      </c>
      <c r="G15" s="58">
        <v>0.05</v>
      </c>
      <c r="H15" s="58">
        <v>0.13</v>
      </c>
      <c r="I15" s="58">
        <f>MIN(Расчет!D15,IF(Расчет!K15=Данные!$D$116,0,Расчет!K15))</f>
        <v>0</v>
      </c>
      <c r="J15" s="58">
        <f t="shared" si="0"/>
        <v>0</v>
      </c>
      <c r="K15" s="58">
        <f>K14+Расчет!I14</f>
        <v>0</v>
      </c>
      <c r="L15" s="58">
        <v>9</v>
      </c>
      <c r="M15" s="73">
        <f>INT(Данные!$D$119/N15)</f>
        <v>159</v>
      </c>
      <c r="N15" s="79">
        <v>1</v>
      </c>
      <c r="O15" s="125">
        <f t="shared" si="1"/>
        <v>159</v>
      </c>
      <c r="P15" s="125">
        <f>INT((dI-MAX(2-Расчет!$D$90,0)*15-(5-K15-Расчет!I15)*(Расчет!F15+Расчет!G15))/Расчет!F15)+(5-K15-Расчет!I15)</f>
        <v>527</v>
      </c>
      <c r="Q15" s="125"/>
    </row>
    <row r="16" spans="3:19" x14ac:dyDescent="0.25">
      <c r="C16" s="50"/>
      <c r="D16" s="57" t="s">
        <v>51</v>
      </c>
      <c r="E16" s="58">
        <v>0.3</v>
      </c>
      <c r="F16" s="58">
        <v>3.5</v>
      </c>
      <c r="G16" s="58">
        <v>0</v>
      </c>
      <c r="H16" s="58">
        <v>0</v>
      </c>
      <c r="I16" s="58">
        <f>MIN(Расчет!D16,IF(Расчет!K16=Данные!$D$116,0,Расчет!K16))</f>
        <v>0</v>
      </c>
      <c r="J16" s="58">
        <f t="shared" si="0"/>
        <v>0</v>
      </c>
      <c r="K16" s="58">
        <f>K15+Расчет!I15</f>
        <v>0</v>
      </c>
      <c r="L16" s="58">
        <v>10</v>
      </c>
      <c r="M16" s="73">
        <f>INT(Данные!$D$119/N16)</f>
        <v>159</v>
      </c>
      <c r="N16" s="79">
        <v>1</v>
      </c>
      <c r="O16" s="125">
        <f t="shared" si="1"/>
        <v>159</v>
      </c>
      <c r="P16" s="125">
        <f>INT((dI-(5-K16-Расчет!I16)*(Расчет!F16+Расчет!G16))/Расчет!F16)+(5-K16-Расчет!I16)</f>
        <v>720</v>
      </c>
      <c r="Q16" s="125"/>
    </row>
    <row r="17" spans="3:18" x14ac:dyDescent="0.25">
      <c r="C17" s="50"/>
      <c r="D17" s="57" t="s">
        <v>52</v>
      </c>
      <c r="E17" s="58">
        <v>0.3</v>
      </c>
      <c r="F17" s="58">
        <v>3.5</v>
      </c>
      <c r="G17" s="58">
        <v>0.05</v>
      </c>
      <c r="H17" s="58">
        <v>0.13</v>
      </c>
      <c r="I17" s="58">
        <f>MIN(Расчет!D17,IF(Расчет!K17=Данные!$D$116,0,Расчет!K17))</f>
        <v>0</v>
      </c>
      <c r="J17" s="58">
        <f t="shared" si="0"/>
        <v>0</v>
      </c>
      <c r="K17" s="58">
        <f>K16+Расчет!I16</f>
        <v>0</v>
      </c>
      <c r="L17" s="58">
        <v>11</v>
      </c>
      <c r="M17" s="73">
        <f>INT(Данные!$D$119/N17)</f>
        <v>159</v>
      </c>
      <c r="N17" s="79">
        <v>1</v>
      </c>
      <c r="O17" s="125">
        <f t="shared" si="1"/>
        <v>159</v>
      </c>
      <c r="P17" s="125">
        <f>INT((dI-MAX(2-Расчет!$D$90,0)*15-(5-K17-Расчет!I17)*(Расчет!F17+Расчет!G17))/Расчет!F17)+(5-K17-Расчет!I17)</f>
        <v>527</v>
      </c>
      <c r="Q17" s="125"/>
    </row>
    <row r="18" spans="3:18" x14ac:dyDescent="0.25">
      <c r="C18" s="50"/>
      <c r="D18" s="57" t="s">
        <v>53</v>
      </c>
      <c r="E18" s="58">
        <v>2</v>
      </c>
      <c r="F18" s="58">
        <v>6.5</v>
      </c>
      <c r="G18" s="58">
        <v>0.05</v>
      </c>
      <c r="H18" s="58">
        <v>0.13</v>
      </c>
      <c r="I18" s="58">
        <f>MIN(Расчет!D18,IF(Расчет!K18=Данные!$D$116,0,Расчет!K18))</f>
        <v>0</v>
      </c>
      <c r="J18" s="58">
        <f t="shared" si="0"/>
        <v>0</v>
      </c>
      <c r="K18" s="58">
        <v>0</v>
      </c>
      <c r="L18" s="58">
        <v>1</v>
      </c>
      <c r="M18" s="73">
        <f>INT(Данные!$D$119/N18)</f>
        <v>159</v>
      </c>
      <c r="N18" s="79">
        <v>1</v>
      </c>
      <c r="O18" s="125">
        <f t="shared" si="1"/>
        <v>159</v>
      </c>
      <c r="P18" s="125">
        <f>INT((dI-(5-K18-Расчет!I18)*(Расчет!F18+Расчет!G18))/Расчет!F18)+(5-K18-Расчет!I18)</f>
        <v>100</v>
      </c>
      <c r="Q18" s="125"/>
      <c r="R18" s="122"/>
    </row>
    <row r="19" spans="3:18" x14ac:dyDescent="0.25">
      <c r="C19" s="50"/>
      <c r="D19" s="57" t="s">
        <v>54</v>
      </c>
      <c r="E19" s="58">
        <v>0.33</v>
      </c>
      <c r="F19" s="58">
        <v>3.2</v>
      </c>
      <c r="G19" s="58">
        <v>0</v>
      </c>
      <c r="H19" s="58">
        <v>0</v>
      </c>
      <c r="I19" s="58">
        <f>MIN(Расчет!D19,IF(Расчет!K19=Данные!$D$116,0,Расчет!K19))</f>
        <v>0</v>
      </c>
      <c r="J19" s="58">
        <f t="shared" si="0"/>
        <v>0</v>
      </c>
      <c r="K19" s="58"/>
      <c r="L19" s="58">
        <v>0</v>
      </c>
      <c r="M19" s="73">
        <f>INT(Данные!$D$120/N19)</f>
        <v>99</v>
      </c>
      <c r="N19" s="79">
        <v>1</v>
      </c>
      <c r="O19" s="125">
        <f>Nox-Nos</f>
        <v>99</v>
      </c>
      <c r="P19" s="125">
        <f>INT(dI/(Расчет!F19+Расчет!G19))</f>
        <v>66</v>
      </c>
      <c r="Q19" s="125">
        <f>D126*Расчет!D56-Расчет!D19</f>
        <v>0</v>
      </c>
    </row>
    <row r="20" spans="3:18" x14ac:dyDescent="0.25">
      <c r="C20" s="50"/>
      <c r="D20" s="57" t="s">
        <v>55</v>
      </c>
      <c r="E20" s="58">
        <v>0.46</v>
      </c>
      <c r="F20" s="58">
        <v>0</v>
      </c>
      <c r="G20" s="58">
        <v>0.05</v>
      </c>
      <c r="H20" s="58">
        <v>0.15</v>
      </c>
      <c r="I20" s="58">
        <f>MIN(Расчет!D20,IF(Расчет!K20=Данные!$D$116,0,Расчет!K20))</f>
        <v>0</v>
      </c>
      <c r="J20" s="58">
        <f t="shared" si="0"/>
        <v>0</v>
      </c>
      <c r="K20" s="58"/>
      <c r="L20" s="58">
        <v>0</v>
      </c>
      <c r="M20" s="73">
        <f>INT(Данные!$D$120/N20)</f>
        <v>99</v>
      </c>
      <c r="N20" s="79">
        <v>1</v>
      </c>
      <c r="O20" s="125">
        <f>MIN(Nox-Nos,Nox-Nom)</f>
        <v>99</v>
      </c>
      <c r="P20" s="125">
        <f>INT(dI/(Расчет!F20+Расчет!G20))</f>
        <v>508</v>
      </c>
      <c r="Q20" s="125"/>
    </row>
    <row r="21" spans="3:18" x14ac:dyDescent="0.25">
      <c r="C21" s="50"/>
      <c r="D21" s="57" t="s">
        <v>56</v>
      </c>
      <c r="E21" s="58">
        <v>0.7</v>
      </c>
      <c r="F21" s="58">
        <v>0</v>
      </c>
      <c r="G21" s="58">
        <v>0.05</v>
      </c>
      <c r="H21" s="58">
        <v>0.15</v>
      </c>
      <c r="I21" s="58">
        <f>MIN(Расчет!D21,IF(Расчет!K21=Данные!$D$116,0,Расчет!K21))</f>
        <v>0</v>
      </c>
      <c r="J21" s="58">
        <f t="shared" si="0"/>
        <v>0</v>
      </c>
      <c r="K21" s="58"/>
      <c r="L21" s="58">
        <v>0</v>
      </c>
      <c r="M21" s="58">
        <f>INT(Данные!$D$120/N21)</f>
        <v>49</v>
      </c>
      <c r="N21" s="79">
        <v>2</v>
      </c>
      <c r="O21" s="125">
        <f>MIN(INT((Nox-Nos)/2),INT((Nox-Nom)/2))</f>
        <v>49</v>
      </c>
      <c r="P21" s="125">
        <f>INT(dI/(Расчет!F21+Расчет!G21))</f>
        <v>333</v>
      </c>
      <c r="Q21" s="125"/>
    </row>
    <row r="22" spans="3:18" x14ac:dyDescent="0.25">
      <c r="C22" s="50"/>
      <c r="D22" s="57" t="s">
        <v>57</v>
      </c>
      <c r="E22" s="58">
        <v>0.7</v>
      </c>
      <c r="F22" s="58">
        <v>0</v>
      </c>
      <c r="G22" s="58">
        <v>0.05</v>
      </c>
      <c r="H22" s="58">
        <v>0.15</v>
      </c>
      <c r="I22" s="58">
        <f>MIN(Расчет!D22,IF(Расчет!K22=Данные!$D$116,0,Расчет!K22))</f>
        <v>0</v>
      </c>
      <c r="J22" s="58">
        <f t="shared" si="0"/>
        <v>0</v>
      </c>
      <c r="K22" s="58"/>
      <c r="L22" s="58">
        <v>0</v>
      </c>
      <c r="M22" s="73">
        <f>INT(Данные!$D$120/N22)</f>
        <v>49</v>
      </c>
      <c r="N22" s="79">
        <v>2</v>
      </c>
      <c r="O22" s="125">
        <f>MIN(INT((Nox-Nos)/2),INT((Nox-Nom)/2))</f>
        <v>49</v>
      </c>
      <c r="P22" s="125">
        <f>INT(dI/(Расчет!F22+Расчет!G22))</f>
        <v>333</v>
      </c>
      <c r="Q22" s="125"/>
    </row>
    <row r="23" spans="3:18" x14ac:dyDescent="0.25">
      <c r="C23" s="50"/>
      <c r="D23" s="54" t="s">
        <v>18</v>
      </c>
      <c r="E23" s="55"/>
      <c r="F23" s="55"/>
      <c r="G23" s="55"/>
      <c r="H23" s="55"/>
      <c r="I23" s="55"/>
      <c r="J23" s="55"/>
      <c r="K23" s="55"/>
      <c r="L23" s="55"/>
      <c r="M23" s="56"/>
      <c r="N23" s="80"/>
      <c r="O23" s="50"/>
      <c r="P23" s="50"/>
      <c r="Q23" s="50"/>
    </row>
    <row r="24" spans="3:18" x14ac:dyDescent="0.25">
      <c r="C24" s="50"/>
      <c r="D24" s="57" t="s">
        <v>58</v>
      </c>
      <c r="E24" s="58">
        <v>0.66</v>
      </c>
      <c r="F24" s="58">
        <v>1.8</v>
      </c>
      <c r="G24" s="58">
        <v>0.05</v>
      </c>
      <c r="H24" s="58">
        <v>0.13</v>
      </c>
      <c r="I24" s="58">
        <f>MIN(Расчет!D24,IF(Расчет!K24=Данные!$D$116,0,Расчет!K24))</f>
        <v>0</v>
      </c>
      <c r="J24" s="58">
        <f t="shared" ref="J24:J25" si="2">I24*H24</f>
        <v>0</v>
      </c>
      <c r="K24" s="58">
        <f>K33+Расчет!I33</f>
        <v>0</v>
      </c>
      <c r="L24" s="58">
        <v>19</v>
      </c>
      <c r="M24" s="73">
        <f>INT(Данные!$D$119/N24)</f>
        <v>159</v>
      </c>
      <c r="N24" s="79">
        <v>1</v>
      </c>
      <c r="O24" s="125">
        <f t="shared" ref="O24:O29" si="3">Nax-Nam</f>
        <v>159</v>
      </c>
      <c r="P24" s="125">
        <f>INT((dI-MAX(2-Расчет!$D$90,0)*15-(5-K24-Расчет!I24)*(Расчет!F24+Расчет!G24))/Расчет!F24)+(5-K24-Расчет!I24)</f>
        <v>271</v>
      </c>
      <c r="Q24" s="125"/>
    </row>
    <row r="25" spans="3:18" x14ac:dyDescent="0.25">
      <c r="C25" s="50"/>
      <c r="D25" s="57" t="s">
        <v>59</v>
      </c>
      <c r="E25" s="58">
        <v>0.66</v>
      </c>
      <c r="F25" s="58">
        <v>1.8</v>
      </c>
      <c r="G25" s="58">
        <v>0.05</v>
      </c>
      <c r="H25" s="58">
        <v>0.13</v>
      </c>
      <c r="I25" s="58">
        <f>MIN(Расчет!D25,IF(Расчет!K25=Данные!$D$116,0,Расчет!K25))</f>
        <v>0</v>
      </c>
      <c r="J25" s="58">
        <f t="shared" si="2"/>
        <v>0</v>
      </c>
      <c r="K25" s="58">
        <f>K24+Расчет!I24</f>
        <v>0</v>
      </c>
      <c r="L25" s="58">
        <v>20</v>
      </c>
      <c r="M25" s="73">
        <f>INT(Данные!$D$119/N25)</f>
        <v>159</v>
      </c>
      <c r="N25" s="79">
        <v>1</v>
      </c>
      <c r="O25" s="125">
        <f t="shared" si="3"/>
        <v>159</v>
      </c>
      <c r="P25" s="125">
        <f>INT((dI-MAX(2-Расчет!$D$90,0)*15-(5-K25-Расчет!I25)*(Расчет!F25+Расчет!G25))/Расчет!F25)+(5-K25-Расчет!I25)</f>
        <v>271</v>
      </c>
      <c r="Q25" s="125"/>
    </row>
    <row r="26" spans="3:18" x14ac:dyDescent="0.25">
      <c r="C26" s="50"/>
      <c r="D26" s="57" t="s">
        <v>60</v>
      </c>
      <c r="E26" s="58">
        <v>0.66</v>
      </c>
      <c r="F26" s="58">
        <v>1.8</v>
      </c>
      <c r="G26" s="58">
        <v>0.05</v>
      </c>
      <c r="H26" s="58">
        <v>0.13</v>
      </c>
      <c r="I26" s="58">
        <f>MIN(Расчет!D26,IF(Расчет!K26=Данные!$D$116,0,Расчет!K26))</f>
        <v>0</v>
      </c>
      <c r="J26" s="58">
        <f t="shared" ref="J26:J34" si="4">I26*H26</f>
        <v>0</v>
      </c>
      <c r="K26" s="58">
        <f>K25+Расчет!I25</f>
        <v>0</v>
      </c>
      <c r="L26" s="58">
        <v>21</v>
      </c>
      <c r="M26" s="73">
        <f>INT(Данные!$D$119/N26)</f>
        <v>159</v>
      </c>
      <c r="N26" s="79">
        <v>1</v>
      </c>
      <c r="O26" s="125">
        <f t="shared" si="3"/>
        <v>159</v>
      </c>
      <c r="P26" s="125">
        <f>INT((dI-MAX(2-Расчет!$D$90,0)*15-(5-K26-Расчет!I26)*(Расчет!F26+Расчет!G26))/Расчет!F26)+(5-K26-Расчет!I26)</f>
        <v>271</v>
      </c>
      <c r="Q26" s="125"/>
    </row>
    <row r="27" spans="3:18" x14ac:dyDescent="0.25">
      <c r="C27" s="50"/>
      <c r="D27" s="57" t="s">
        <v>61</v>
      </c>
      <c r="E27" s="58">
        <v>0.45500000000000002</v>
      </c>
      <c r="F27" s="58">
        <v>2</v>
      </c>
      <c r="G27" s="58">
        <v>0.05</v>
      </c>
      <c r="H27" s="58">
        <v>0.125</v>
      </c>
      <c r="I27" s="58">
        <f>MIN(Расчет!D27,IF(Расчет!K27=Данные!$D$116,0,Расчет!K27))</f>
        <v>0</v>
      </c>
      <c r="J27" s="58">
        <f t="shared" si="4"/>
        <v>0</v>
      </c>
      <c r="K27" s="58">
        <f>K17+Расчет!I17</f>
        <v>0</v>
      </c>
      <c r="L27" s="58">
        <v>12</v>
      </c>
      <c r="M27" s="73">
        <f>INT(Данные!$D$119/N27)</f>
        <v>159</v>
      </c>
      <c r="N27" s="79">
        <v>1</v>
      </c>
      <c r="O27" s="125">
        <f t="shared" si="3"/>
        <v>159</v>
      </c>
      <c r="P27" s="125">
        <f>INT((dI-(5-K27-Расчет!I27)*(Расчет!F27+Расчет!G27))/Расчет!F27)+(5-K27-Расчет!I27)</f>
        <v>491</v>
      </c>
      <c r="Q27" s="125"/>
    </row>
    <row r="28" spans="3:18" x14ac:dyDescent="0.25">
      <c r="C28" s="50"/>
      <c r="D28" s="57" t="s">
        <v>62</v>
      </c>
      <c r="E28" s="58">
        <v>0.51</v>
      </c>
      <c r="F28" s="58">
        <v>2</v>
      </c>
      <c r="G28" s="58">
        <v>0.05</v>
      </c>
      <c r="H28" s="58">
        <v>0.125</v>
      </c>
      <c r="I28" s="58">
        <f>MIN(Расчет!D28,IF(Расчет!K28=Данные!$D$116,0,Расчет!K28))</f>
        <v>0</v>
      </c>
      <c r="J28" s="58">
        <f t="shared" si="4"/>
        <v>0</v>
      </c>
      <c r="K28" s="58">
        <f>K27+Расчет!I27</f>
        <v>0</v>
      </c>
      <c r="L28" s="58">
        <v>13</v>
      </c>
      <c r="M28" s="73">
        <f>INT(Данные!$D$119/N28)</f>
        <v>159</v>
      </c>
      <c r="N28" s="79">
        <v>1</v>
      </c>
      <c r="O28" s="125">
        <f t="shared" si="3"/>
        <v>159</v>
      </c>
      <c r="P28" s="125">
        <f>INT((dI-(5-K28-Расчет!I28)*(Расчет!F28+Расчет!G28))/Расчет!F28)+(5-K28-Расчет!I28)</f>
        <v>438</v>
      </c>
      <c r="Q28" s="125"/>
    </row>
    <row r="29" spans="3:18" x14ac:dyDescent="0.25">
      <c r="C29" s="50"/>
      <c r="D29" s="57" t="s">
        <v>63</v>
      </c>
      <c r="E29" s="58">
        <v>0.51</v>
      </c>
      <c r="F29" s="58">
        <v>2</v>
      </c>
      <c r="G29" s="58">
        <v>0.05</v>
      </c>
      <c r="H29" s="58">
        <v>0.13500000000000001</v>
      </c>
      <c r="I29" s="58">
        <f>MIN(Расчет!D29,IF(Расчет!K29=Данные!$D$116,0,Расчет!K29))</f>
        <v>0</v>
      </c>
      <c r="J29" s="58">
        <f t="shared" si="4"/>
        <v>0</v>
      </c>
      <c r="K29" s="58">
        <f>K28+Расчет!I28</f>
        <v>0</v>
      </c>
      <c r="L29" s="58">
        <v>14</v>
      </c>
      <c r="M29" s="73">
        <f>INT(Данные!$D$119/N29)</f>
        <v>159</v>
      </c>
      <c r="N29" s="79">
        <v>1</v>
      </c>
      <c r="O29" s="125">
        <f t="shared" si="3"/>
        <v>159</v>
      </c>
      <c r="P29" s="125">
        <f>INT((dI-(5-K29-Расчет!I29)*(Расчет!F29+Расчет!G29))/Расчет!F29)+(5-K29-Расчет!I29)</f>
        <v>438</v>
      </c>
      <c r="Q29" s="125"/>
    </row>
    <row r="30" spans="3:18" x14ac:dyDescent="0.25">
      <c r="C30" s="50"/>
      <c r="D30" s="57" t="s">
        <v>64</v>
      </c>
      <c r="E30" s="58">
        <v>0.6</v>
      </c>
      <c r="F30" s="58">
        <v>2</v>
      </c>
      <c r="G30" s="58">
        <v>0.05</v>
      </c>
      <c r="H30" s="58">
        <v>0.13500000000000001</v>
      </c>
      <c r="I30" s="58">
        <f>MIN(Расчет!D30,IF(Расчет!K30=Данные!$D$116,0,Расчет!K30))</f>
        <v>0</v>
      </c>
      <c r="J30" s="58">
        <f t="shared" si="4"/>
        <v>0</v>
      </c>
      <c r="K30" s="58">
        <f>K29+Расчет!I29</f>
        <v>0</v>
      </c>
      <c r="L30" s="58">
        <v>15</v>
      </c>
      <c r="M30" s="73">
        <f>INT(Данные!$D$119/N30)</f>
        <v>79</v>
      </c>
      <c r="N30" s="79">
        <v>2</v>
      </c>
      <c r="O30" s="125">
        <f>INT((Nax-Nam)/2)</f>
        <v>79</v>
      </c>
      <c r="P30" s="125">
        <f>INT((dI-(5-K30-Расчет!I30)*(Расчет!F30+Расчет!G30))/Расчет!F30)+(5-K30-Расчет!I30)</f>
        <v>372</v>
      </c>
      <c r="Q30" s="125"/>
    </row>
    <row r="31" spans="3:18" x14ac:dyDescent="0.25">
      <c r="C31" s="50"/>
      <c r="D31" s="57" t="s">
        <v>65</v>
      </c>
      <c r="E31" s="58">
        <v>0.66</v>
      </c>
      <c r="F31" s="58">
        <v>2</v>
      </c>
      <c r="G31" s="58">
        <v>0.05</v>
      </c>
      <c r="H31" s="58">
        <v>0.13500000000000001</v>
      </c>
      <c r="I31" s="58">
        <f>MIN(Расчет!D31,IF(Расчет!K31=Данные!$D$116,0,Расчет!K31))</f>
        <v>0</v>
      </c>
      <c r="J31" s="58">
        <f t="shared" si="4"/>
        <v>0</v>
      </c>
      <c r="K31" s="58">
        <f>K30+Расчет!I30</f>
        <v>0</v>
      </c>
      <c r="L31" s="58">
        <v>16</v>
      </c>
      <c r="M31" s="58">
        <f>INT(Данные!$D$119/N31)</f>
        <v>53</v>
      </c>
      <c r="N31" s="79">
        <v>3</v>
      </c>
      <c r="O31" s="125">
        <f>INT((Nax-Nam)/3)</f>
        <v>53</v>
      </c>
      <c r="P31" s="125">
        <f>INT((dI-(5-K31-Расчет!I31)*(Расчет!F31+Расчет!G31))/Расчет!F31)+(5-K31-Расчет!I31)</f>
        <v>338</v>
      </c>
      <c r="Q31" s="125"/>
    </row>
    <row r="32" spans="3:18" x14ac:dyDescent="0.25">
      <c r="C32" s="112" t="s">
        <v>427</v>
      </c>
      <c r="D32" s="57" t="s">
        <v>66</v>
      </c>
      <c r="E32" s="58">
        <v>0.5</v>
      </c>
      <c r="F32" s="58">
        <v>2</v>
      </c>
      <c r="G32" s="58">
        <v>0.05</v>
      </c>
      <c r="H32" s="58">
        <v>0.185</v>
      </c>
      <c r="I32" s="58">
        <f>MIN(Расчет!D32,IF(Расчет!K32=Данные!$D$116,0,Расчет!K32))</f>
        <v>0</v>
      </c>
      <c r="J32" s="58">
        <f t="shared" si="4"/>
        <v>0</v>
      </c>
      <c r="K32" s="58">
        <f>K31+Расчет!I31</f>
        <v>0</v>
      </c>
      <c r="L32" s="58">
        <v>17</v>
      </c>
      <c r="M32" s="73">
        <f>INT(Данные!$D$119/N32)</f>
        <v>159</v>
      </c>
      <c r="N32" s="79">
        <v>1</v>
      </c>
      <c r="O32" s="125">
        <f>Nax-Nam</f>
        <v>159</v>
      </c>
      <c r="P32" s="125">
        <f>INT((dI-(5-K32-Расчет!I32)*(Расчет!F32+Расчет!G32))/Расчет!F32)+(5-K32-Расчет!I32)</f>
        <v>447</v>
      </c>
      <c r="Q32" s="125"/>
    </row>
    <row r="33" spans="3:17" x14ac:dyDescent="0.25">
      <c r="C33" s="112" t="s">
        <v>428</v>
      </c>
      <c r="D33" s="57" t="s">
        <v>66</v>
      </c>
      <c r="E33" s="73">
        <v>0.5</v>
      </c>
      <c r="F33" s="73">
        <v>2</v>
      </c>
      <c r="G33" s="73">
        <v>0.05</v>
      </c>
      <c r="H33" s="73">
        <v>0.185</v>
      </c>
      <c r="I33" s="73">
        <f>MIN(Расчет!D33,IF(Расчет!K33=Данные!$D$116,0,Расчет!K33))</f>
        <v>0</v>
      </c>
      <c r="J33" s="73">
        <f t="shared" si="4"/>
        <v>0</v>
      </c>
      <c r="K33" s="73">
        <f>K32+Расчет!I32</f>
        <v>0</v>
      </c>
      <c r="L33" s="73">
        <v>18</v>
      </c>
      <c r="M33" s="73">
        <f>INT(Данные!$D$119/N33)</f>
        <v>159</v>
      </c>
      <c r="N33" s="79">
        <v>1</v>
      </c>
      <c r="O33" s="125">
        <f>Nax-Nam</f>
        <v>159</v>
      </c>
      <c r="P33" s="125">
        <f>INT((dI-(5-K33-Расчет!I33)*(Расчет!F33+Расчет!G33))/(Расчет!F33+D66*E77))+(5-K33-Расчет!I33)</f>
        <v>6</v>
      </c>
      <c r="Q33" s="125"/>
    </row>
    <row r="34" spans="3:17" x14ac:dyDescent="0.25">
      <c r="C34" s="50"/>
      <c r="D34" s="57" t="s">
        <v>371</v>
      </c>
      <c r="E34" s="73">
        <v>1.1000000000000001</v>
      </c>
      <c r="F34" s="73">
        <v>0</v>
      </c>
      <c r="G34" s="73">
        <v>0</v>
      </c>
      <c r="H34" s="73">
        <v>0</v>
      </c>
      <c r="I34" s="73">
        <f>MIN(Расчет!D35,IF(Расчет!J35=Данные!$D$116,0,Расчет!J35))</f>
        <v>0</v>
      </c>
      <c r="J34" s="73">
        <f t="shared" si="4"/>
        <v>0</v>
      </c>
      <c r="K34" s="73"/>
      <c r="L34" s="73">
        <v>0</v>
      </c>
      <c r="M34" s="73">
        <f>INT(Данные!$D$119/N34)</f>
        <v>31</v>
      </c>
      <c r="N34" s="79">
        <v>5</v>
      </c>
      <c r="O34" s="125">
        <f>INT((Nax-Nam)/5)</f>
        <v>31</v>
      </c>
      <c r="P34" s="125">
        <f>INT((dI-(5-K34-Расчет!I34)*(Расчет!F34+Расчет!G34))/Расчет!F34)+(5-K34-Расчет!I34)</f>
        <v>97</v>
      </c>
      <c r="Q34" s="125"/>
    </row>
    <row r="35" spans="3:17" x14ac:dyDescent="0.25">
      <c r="C35" s="50"/>
      <c r="D35" s="54" t="s">
        <v>27</v>
      </c>
      <c r="E35" s="55"/>
      <c r="F35" s="55"/>
      <c r="G35" s="55"/>
      <c r="H35" s="55"/>
      <c r="I35" s="55"/>
      <c r="J35" s="55"/>
      <c r="K35" s="55"/>
      <c r="L35" s="55"/>
      <c r="M35" s="56"/>
      <c r="N35" s="80"/>
      <c r="O35" s="50"/>
      <c r="P35" s="50"/>
      <c r="Q35" s="50"/>
    </row>
    <row r="36" spans="3:17" x14ac:dyDescent="0.25">
      <c r="C36" s="50"/>
      <c r="D36" s="57" t="s">
        <v>387</v>
      </c>
      <c r="E36" s="58">
        <v>0.32</v>
      </c>
      <c r="F36" s="58">
        <f>VLOOKUP(Расчет!L36,Данные!$J$63:$K$126,2,FALSE)</f>
        <v>2.5</v>
      </c>
      <c r="G36" s="58">
        <v>0</v>
      </c>
      <c r="H36" s="58">
        <v>0</v>
      </c>
      <c r="I36" s="58">
        <f>MIN(Расчет!D36,IF(Расчет!K36=Данные!$D$116,0,Расчет!K36))</f>
        <v>0</v>
      </c>
      <c r="J36" s="58">
        <f t="shared" ref="J36:J52" si="5">I36*H36</f>
        <v>0</v>
      </c>
      <c r="K36" s="58"/>
      <c r="L36" s="58">
        <v>0</v>
      </c>
      <c r="M36" s="73">
        <f>INT(Данные!$D$119/N36)</f>
        <v>159</v>
      </c>
      <c r="N36" s="79">
        <v>1</v>
      </c>
      <c r="O36" s="125">
        <f t="shared" ref="O36:O52" si="6">Nax-Nam</f>
        <v>159</v>
      </c>
      <c r="P36" s="125">
        <f>INT(dI/(Расчет!F36+Расчет!G36))</f>
        <v>82</v>
      </c>
      <c r="Q36" s="125"/>
    </row>
    <row r="37" spans="3:17" x14ac:dyDescent="0.25">
      <c r="C37" s="50"/>
      <c r="D37" s="57" t="s">
        <v>388</v>
      </c>
      <c r="E37" s="73">
        <v>0.32</v>
      </c>
      <c r="F37" s="73">
        <f>VLOOKUP(Расчет!L37,Данные!$J$63:$K$126,2,FALSE)</f>
        <v>6</v>
      </c>
      <c r="G37" s="73">
        <v>0</v>
      </c>
      <c r="H37" s="73">
        <v>0</v>
      </c>
      <c r="I37" s="73">
        <f>MIN(Расчет!D37,IF(Расчет!K37=Данные!$D$116,0,Расчет!K37))</f>
        <v>0</v>
      </c>
      <c r="J37" s="73">
        <f t="shared" si="5"/>
        <v>0</v>
      </c>
      <c r="K37" s="73"/>
      <c r="L37" s="73">
        <v>0</v>
      </c>
      <c r="M37" s="73">
        <f>INT(Данные!$D$119/N37)</f>
        <v>159</v>
      </c>
      <c r="N37" s="79">
        <v>1</v>
      </c>
      <c r="O37" s="125">
        <f t="shared" si="6"/>
        <v>159</v>
      </c>
      <c r="P37" s="125">
        <f>INT(dI/(Расчет!F37+Расчет!G37))</f>
        <v>36</v>
      </c>
      <c r="Q37" s="125"/>
    </row>
    <row r="38" spans="3:17" x14ac:dyDescent="0.25">
      <c r="C38" s="50"/>
      <c r="D38" s="57" t="s">
        <v>389</v>
      </c>
      <c r="E38" s="58">
        <v>0.32</v>
      </c>
      <c r="F38" s="73">
        <f>VLOOKUP(Расчет!L38,Данные!$J$63:$K$126,2,FALSE)</f>
        <v>2.5</v>
      </c>
      <c r="G38" s="73">
        <v>0.19</v>
      </c>
      <c r="H38" s="73">
        <v>0.11</v>
      </c>
      <c r="I38" s="73">
        <f>MIN(Расчет!D38,IF(Расчет!K38=Данные!$D$116,0,Расчет!K38))</f>
        <v>0</v>
      </c>
      <c r="J38" s="73">
        <f t="shared" si="5"/>
        <v>0</v>
      </c>
      <c r="K38" s="58"/>
      <c r="L38" s="73">
        <v>0</v>
      </c>
      <c r="M38" s="73">
        <f>INT(Данные!$D$119/N38)</f>
        <v>159</v>
      </c>
      <c r="N38" s="79">
        <v>1</v>
      </c>
      <c r="O38" s="125">
        <f t="shared" si="6"/>
        <v>159</v>
      </c>
      <c r="P38" s="125">
        <f>INT((dI-MAX(2-Расчет!$D$90,0)*15)/(Расчет!F38+Расчет!G38))</f>
        <v>67</v>
      </c>
      <c r="Q38" s="125"/>
    </row>
    <row r="39" spans="3:17" x14ac:dyDescent="0.25">
      <c r="C39" s="50"/>
      <c r="D39" s="57" t="s">
        <v>390</v>
      </c>
      <c r="E39" s="73">
        <v>0.32</v>
      </c>
      <c r="F39" s="73">
        <f>VLOOKUP(Расчет!L39,Данные!$J$63:$K$126,2,FALSE)</f>
        <v>6</v>
      </c>
      <c r="G39" s="73">
        <v>0.19</v>
      </c>
      <c r="H39" s="73">
        <v>0.11</v>
      </c>
      <c r="I39" s="73">
        <f>MIN(Расчет!D39,IF(Расчет!K39=Данные!$D$116,0,Расчет!K39))</f>
        <v>0</v>
      </c>
      <c r="J39" s="73">
        <f t="shared" si="5"/>
        <v>0</v>
      </c>
      <c r="K39" s="73"/>
      <c r="L39" s="73">
        <v>0</v>
      </c>
      <c r="M39" s="73">
        <f>INT(Данные!$D$119/N39)</f>
        <v>159</v>
      </c>
      <c r="N39" s="79">
        <v>1</v>
      </c>
      <c r="O39" s="125">
        <f t="shared" si="6"/>
        <v>159</v>
      </c>
      <c r="P39" s="125">
        <f>INT((dI-MAX(2-Расчет!$D$90,0)*15)/(Расчет!F39+Расчет!G39))</f>
        <v>31</v>
      </c>
      <c r="Q39" s="125"/>
    </row>
    <row r="40" spans="3:17" x14ac:dyDescent="0.25">
      <c r="C40" s="50"/>
      <c r="D40" s="57" t="s">
        <v>391</v>
      </c>
      <c r="E40" s="58">
        <v>0.32</v>
      </c>
      <c r="F40" s="73">
        <f>VLOOKUP(Расчет!L40,Данные!$J$63:$K$126,2,FALSE)</f>
        <v>2.5</v>
      </c>
      <c r="G40" s="73">
        <v>0</v>
      </c>
      <c r="H40" s="73">
        <v>0</v>
      </c>
      <c r="I40" s="73">
        <f>MIN(Расчет!D40,IF(Расчет!K40=Данные!$D$116,0,Расчет!K40))</f>
        <v>0</v>
      </c>
      <c r="J40" s="73">
        <f t="shared" si="5"/>
        <v>0</v>
      </c>
      <c r="K40" s="58"/>
      <c r="L40" s="73">
        <v>0</v>
      </c>
      <c r="M40" s="73">
        <f>INT(Данные!$D$119/N40)</f>
        <v>159</v>
      </c>
      <c r="N40" s="79">
        <v>1</v>
      </c>
      <c r="O40" s="125">
        <f t="shared" si="6"/>
        <v>159</v>
      </c>
      <c r="P40" s="125">
        <f>INT(dI/(Расчет!F40+Расчет!G40))</f>
        <v>82</v>
      </c>
      <c r="Q40" s="125"/>
    </row>
    <row r="41" spans="3:17" x14ac:dyDescent="0.25">
      <c r="C41" s="50"/>
      <c r="D41" s="57" t="s">
        <v>392</v>
      </c>
      <c r="E41" s="73">
        <v>0.32</v>
      </c>
      <c r="F41" s="73">
        <f>VLOOKUP(Расчет!L41,Данные!$J$63:$K$126,2,FALSE)</f>
        <v>6</v>
      </c>
      <c r="G41" s="73">
        <v>0</v>
      </c>
      <c r="H41" s="73">
        <v>0</v>
      </c>
      <c r="I41" s="73">
        <f>MIN(Расчет!D41,IF(Расчет!K41=Данные!$D$116,0,Расчет!K41))</f>
        <v>0</v>
      </c>
      <c r="J41" s="73">
        <f t="shared" si="5"/>
        <v>0</v>
      </c>
      <c r="K41" s="73"/>
      <c r="L41" s="73">
        <v>0</v>
      </c>
      <c r="M41" s="73">
        <f>INT(Данные!$D$119/N41)</f>
        <v>159</v>
      </c>
      <c r="N41" s="79">
        <v>1</v>
      </c>
      <c r="O41" s="125">
        <f t="shared" si="6"/>
        <v>159</v>
      </c>
      <c r="P41" s="125">
        <f>INT(dI/(Расчет!F41+Расчет!G41))</f>
        <v>36</v>
      </c>
      <c r="Q41" s="125"/>
    </row>
    <row r="42" spans="3:17" x14ac:dyDescent="0.25">
      <c r="C42" s="50"/>
      <c r="D42" s="57" t="s">
        <v>393</v>
      </c>
      <c r="E42" s="58">
        <v>0.32</v>
      </c>
      <c r="F42" s="73">
        <f>VLOOKUP(Расчет!L42,Данные!$J$63:$K$126,2,FALSE)</f>
        <v>2.5</v>
      </c>
      <c r="G42" s="73">
        <v>0.19</v>
      </c>
      <c r="H42" s="73">
        <v>0.11</v>
      </c>
      <c r="I42" s="73">
        <f>MIN(Расчет!D42,IF(Расчет!K42=Данные!$D$116,0,Расчет!K42))</f>
        <v>0</v>
      </c>
      <c r="J42" s="73">
        <f t="shared" si="5"/>
        <v>0</v>
      </c>
      <c r="K42" s="58"/>
      <c r="L42" s="73">
        <v>0</v>
      </c>
      <c r="M42" s="73">
        <f>INT(Данные!$D$119/N42)</f>
        <v>159</v>
      </c>
      <c r="N42" s="79">
        <v>1</v>
      </c>
      <c r="O42" s="125">
        <f t="shared" si="6"/>
        <v>159</v>
      </c>
      <c r="P42" s="125">
        <f>INT((dI-MAX(2-Расчет!$D$90,0)*15)/(Расчет!F42+Расчет!G42))</f>
        <v>67</v>
      </c>
      <c r="Q42" s="125"/>
    </row>
    <row r="43" spans="3:17" x14ac:dyDescent="0.25">
      <c r="C43" s="50"/>
      <c r="D43" s="57" t="s">
        <v>394</v>
      </c>
      <c r="E43" s="73">
        <v>0.32</v>
      </c>
      <c r="F43" s="73">
        <f>VLOOKUP(Расчет!L43,Данные!$J$63:$K$126,2,FALSE)</f>
        <v>6</v>
      </c>
      <c r="G43" s="73">
        <v>0.19</v>
      </c>
      <c r="H43" s="73">
        <v>0.11</v>
      </c>
      <c r="I43" s="73">
        <f>MIN(Расчет!D43,IF(Расчет!K43=Данные!$D$116,0,Расчет!K43))</f>
        <v>0</v>
      </c>
      <c r="J43" s="73">
        <f t="shared" si="5"/>
        <v>0</v>
      </c>
      <c r="K43" s="73"/>
      <c r="L43" s="73">
        <v>0</v>
      </c>
      <c r="M43" s="73">
        <f>INT(Данные!$D$119/N43)</f>
        <v>159</v>
      </c>
      <c r="N43" s="79">
        <v>1</v>
      </c>
      <c r="O43" s="125">
        <f t="shared" si="6"/>
        <v>159</v>
      </c>
      <c r="P43" s="125">
        <f>INT((dI-MAX(2-Расчет!$D$90,0)*15)/(Расчет!F43+Расчет!G43))</f>
        <v>31</v>
      </c>
      <c r="Q43" s="125"/>
    </row>
    <row r="44" spans="3:17" x14ac:dyDescent="0.25">
      <c r="C44" s="50"/>
      <c r="D44" s="57" t="s">
        <v>395</v>
      </c>
      <c r="E44" s="58">
        <v>0.32</v>
      </c>
      <c r="F44" s="73">
        <f>VLOOKUP(Расчет!L44,Данные!$J$63:$K$126,2,FALSE)+Данные!$I$64</f>
        <v>5.8</v>
      </c>
      <c r="G44" s="73">
        <v>0</v>
      </c>
      <c r="H44" s="73">
        <v>0</v>
      </c>
      <c r="I44" s="73">
        <f>MIN(Расчет!D44,IF(Расчет!K44=Данные!$D$116,0,Расчет!K44))</f>
        <v>0</v>
      </c>
      <c r="J44" s="73">
        <f t="shared" si="5"/>
        <v>0</v>
      </c>
      <c r="K44" s="58"/>
      <c r="L44" s="73">
        <v>0</v>
      </c>
      <c r="M44" s="73">
        <f>INT(Данные!$D$119/N44)</f>
        <v>159</v>
      </c>
      <c r="N44" s="79">
        <v>1</v>
      </c>
      <c r="O44" s="125">
        <f t="shared" si="6"/>
        <v>159</v>
      </c>
      <c r="P44" s="125">
        <f>INT(dI/(Расчет!F44+Расчет!G44))</f>
        <v>38</v>
      </c>
      <c r="Q44" s="125"/>
    </row>
    <row r="45" spans="3:17" x14ac:dyDescent="0.25">
      <c r="C45" s="50"/>
      <c r="D45" s="57" t="s">
        <v>396</v>
      </c>
      <c r="E45" s="73">
        <v>0.32</v>
      </c>
      <c r="F45" s="73">
        <f>VLOOKUP(Расчет!L45,Данные!$J$63:$K$126,2,FALSE)+Данные!$I$64</f>
        <v>9.3000000000000007</v>
      </c>
      <c r="G45" s="73">
        <v>0</v>
      </c>
      <c r="H45" s="73">
        <v>0</v>
      </c>
      <c r="I45" s="73">
        <f>MIN(Расчет!D45,IF(Расчет!K45=Данные!$D$116,0,Расчет!K45))</f>
        <v>0</v>
      </c>
      <c r="J45" s="73">
        <f t="shared" si="5"/>
        <v>0</v>
      </c>
      <c r="K45" s="73"/>
      <c r="L45" s="73">
        <v>0</v>
      </c>
      <c r="M45" s="73">
        <f>INT(Данные!$D$119/N45)</f>
        <v>159</v>
      </c>
      <c r="N45" s="79">
        <v>1</v>
      </c>
      <c r="O45" s="125">
        <f t="shared" si="6"/>
        <v>159</v>
      </c>
      <c r="P45" s="125">
        <f>INT(dI/(Расчет!F45+Расчет!G45))</f>
        <v>24</v>
      </c>
      <c r="Q45" s="125"/>
    </row>
    <row r="46" spans="3:17" x14ac:dyDescent="0.25">
      <c r="C46" s="50"/>
      <c r="D46" s="57" t="s">
        <v>397</v>
      </c>
      <c r="E46" s="58">
        <v>0.32</v>
      </c>
      <c r="F46" s="73">
        <f>VLOOKUP(Расчет!L46,Данные!$J$63:$K$126,2,FALSE)+Данные!$I$64</f>
        <v>5.8</v>
      </c>
      <c r="G46" s="73">
        <v>0.19</v>
      </c>
      <c r="H46" s="73">
        <v>0.11</v>
      </c>
      <c r="I46" s="73">
        <f>MIN(Расчет!D46,IF(Расчет!K46=Данные!$D$116,0,Расчет!K46))</f>
        <v>0</v>
      </c>
      <c r="J46" s="73">
        <f t="shared" si="5"/>
        <v>0</v>
      </c>
      <c r="K46" s="58"/>
      <c r="L46" s="73">
        <v>0</v>
      </c>
      <c r="M46" s="73">
        <f>INT(Данные!$D$119/N46)</f>
        <v>159</v>
      </c>
      <c r="N46" s="79">
        <v>1</v>
      </c>
      <c r="O46" s="125">
        <f t="shared" si="6"/>
        <v>159</v>
      </c>
      <c r="P46" s="125">
        <f>INT((dI-MAX(2-Расчет!$D$90,0)*15)/(Расчет!F46+Расчет!G46))</f>
        <v>32</v>
      </c>
      <c r="Q46" s="125"/>
    </row>
    <row r="47" spans="3:17" x14ac:dyDescent="0.25">
      <c r="C47" s="50"/>
      <c r="D47" s="57" t="s">
        <v>398</v>
      </c>
      <c r="E47" s="73">
        <v>0.32</v>
      </c>
      <c r="F47" s="73">
        <f>VLOOKUP(Расчет!L47,Данные!$J$63:$K$126,2,FALSE)+Данные!$I$64</f>
        <v>9.3000000000000007</v>
      </c>
      <c r="G47" s="73">
        <v>0.19</v>
      </c>
      <c r="H47" s="73">
        <v>0.11</v>
      </c>
      <c r="I47" s="73">
        <f>MIN(Расчет!D47,IF(Расчет!K47=Данные!$D$116,0,Расчет!K47))</f>
        <v>0</v>
      </c>
      <c r="J47" s="73">
        <f t="shared" si="5"/>
        <v>0</v>
      </c>
      <c r="K47" s="73"/>
      <c r="L47" s="73">
        <v>0</v>
      </c>
      <c r="M47" s="73">
        <f>INT(Данные!$D$119/N47)</f>
        <v>159</v>
      </c>
      <c r="N47" s="79">
        <v>1</v>
      </c>
      <c r="O47" s="125">
        <f t="shared" si="6"/>
        <v>159</v>
      </c>
      <c r="P47" s="125">
        <f>INT((dI-MAX(2-Расчет!$D$90,0)*15)/(Расчет!F47+Расчет!G47))</f>
        <v>20</v>
      </c>
      <c r="Q47" s="125"/>
    </row>
    <row r="48" spans="3:17" x14ac:dyDescent="0.25">
      <c r="C48" s="50"/>
      <c r="D48" s="57" t="s">
        <v>399</v>
      </c>
      <c r="E48" s="58">
        <v>0.32</v>
      </c>
      <c r="F48" s="73">
        <f>VLOOKUP(Расчет!L48,Данные!$J$63:$K$126,2,FALSE)+Данные!$I$64</f>
        <v>5.8</v>
      </c>
      <c r="G48" s="73">
        <v>0</v>
      </c>
      <c r="H48" s="73">
        <v>0</v>
      </c>
      <c r="I48" s="73">
        <f>MIN(Расчет!D48,IF(Расчет!K48=Данные!$D$116,0,Расчет!K48))</f>
        <v>0</v>
      </c>
      <c r="J48" s="73">
        <f t="shared" si="5"/>
        <v>0</v>
      </c>
      <c r="K48" s="58"/>
      <c r="L48" s="73">
        <v>0</v>
      </c>
      <c r="M48" s="73">
        <f>INT(Данные!$D$119/N48)</f>
        <v>159</v>
      </c>
      <c r="N48" s="79">
        <v>1</v>
      </c>
      <c r="O48" s="125">
        <f t="shared" si="6"/>
        <v>159</v>
      </c>
      <c r="P48" s="125">
        <f>INT(dI/(Расчет!F48+Расчет!G48))</f>
        <v>38</v>
      </c>
      <c r="Q48" s="125"/>
    </row>
    <row r="49" spans="1:17" x14ac:dyDescent="0.25">
      <c r="C49" s="50"/>
      <c r="D49" s="57" t="s">
        <v>400</v>
      </c>
      <c r="E49" s="73">
        <v>0.32</v>
      </c>
      <c r="F49" s="73">
        <f>VLOOKUP(Расчет!L49,Данные!$J$63:$K$126,2,FALSE)+Данные!$I$64</f>
        <v>9.3000000000000007</v>
      </c>
      <c r="G49" s="73">
        <v>0</v>
      </c>
      <c r="H49" s="73">
        <v>0</v>
      </c>
      <c r="I49" s="73">
        <f>MIN(Расчет!D49,IF(Расчет!K49=Данные!$D$116,0,Расчет!K49))</f>
        <v>0</v>
      </c>
      <c r="J49" s="73">
        <f t="shared" si="5"/>
        <v>0</v>
      </c>
      <c r="K49" s="73"/>
      <c r="L49" s="73">
        <v>0</v>
      </c>
      <c r="M49" s="73">
        <f>INT(Данные!$D$119/N49)</f>
        <v>159</v>
      </c>
      <c r="N49" s="79">
        <v>1</v>
      </c>
      <c r="O49" s="125">
        <f t="shared" si="6"/>
        <v>159</v>
      </c>
      <c r="P49" s="125">
        <f>INT(dI/(Расчет!F49+Расчет!G49))</f>
        <v>24</v>
      </c>
      <c r="Q49" s="125"/>
    </row>
    <row r="50" spans="1:17" x14ac:dyDescent="0.25">
      <c r="C50" s="50"/>
      <c r="D50" s="57" t="s">
        <v>401</v>
      </c>
      <c r="E50" s="58">
        <v>0.32</v>
      </c>
      <c r="F50" s="73">
        <f>VLOOKUP(Расчет!L50,Данные!$J$63:$K$126,2,FALSE)+Данные!$I$64</f>
        <v>5.8</v>
      </c>
      <c r="G50" s="73">
        <v>0.19</v>
      </c>
      <c r="H50" s="73">
        <v>0.11</v>
      </c>
      <c r="I50" s="73">
        <f>MIN(Расчет!D50,IF(Расчет!K50=Данные!$D$116,0,Расчет!K50))</f>
        <v>0</v>
      </c>
      <c r="J50" s="73">
        <f t="shared" si="5"/>
        <v>0</v>
      </c>
      <c r="K50" s="58"/>
      <c r="L50" s="73">
        <v>0</v>
      </c>
      <c r="M50" s="73">
        <f>INT(Данные!$D$119/N50)</f>
        <v>159</v>
      </c>
      <c r="N50" s="79">
        <v>1</v>
      </c>
      <c r="O50" s="125">
        <f t="shared" si="6"/>
        <v>159</v>
      </c>
      <c r="P50" s="125">
        <f>INT((dI-MAX(2-Расчет!$D$90,0)*15)/(Расчет!F50+Расчет!G50))</f>
        <v>32</v>
      </c>
      <c r="Q50" s="125"/>
    </row>
    <row r="51" spans="1:17" x14ac:dyDescent="0.25">
      <c r="C51" s="50"/>
      <c r="D51" s="57" t="s">
        <v>402</v>
      </c>
      <c r="E51" s="73">
        <v>0.32</v>
      </c>
      <c r="F51" s="73">
        <f>VLOOKUP(Расчет!L51,Данные!$J$63:$K$126,2,FALSE)+Данные!$I$64</f>
        <v>9.3000000000000007</v>
      </c>
      <c r="G51" s="73">
        <v>0.19</v>
      </c>
      <c r="H51" s="73">
        <v>0.11</v>
      </c>
      <c r="I51" s="73">
        <f>MIN(Расчет!D51,IF(Расчет!K51=Данные!$D$116,0,Расчет!K51))</f>
        <v>0</v>
      </c>
      <c r="J51" s="73">
        <f t="shared" si="5"/>
        <v>0</v>
      </c>
      <c r="K51" s="73"/>
      <c r="L51" s="73">
        <v>0</v>
      </c>
      <c r="M51" s="73">
        <f>INT(Данные!$D$119/N51)</f>
        <v>159</v>
      </c>
      <c r="N51" s="79">
        <v>1</v>
      </c>
      <c r="O51" s="125">
        <f t="shared" si="6"/>
        <v>159</v>
      </c>
      <c r="P51" s="125">
        <f>INT((dI-MAX(2-Расчет!$D$90,0)*15)/(Расчет!F51+Расчет!G51))</f>
        <v>20</v>
      </c>
      <c r="Q51" s="125"/>
    </row>
    <row r="52" spans="1:17" x14ac:dyDescent="0.25">
      <c r="C52" s="50"/>
      <c r="D52" s="57" t="s">
        <v>67</v>
      </c>
      <c r="E52" s="58">
        <v>0.31</v>
      </c>
      <c r="F52" s="58">
        <v>2.97</v>
      </c>
      <c r="G52" s="58">
        <v>0</v>
      </c>
      <c r="H52" s="58">
        <v>0</v>
      </c>
      <c r="I52" s="58">
        <f>MIN(Расчет!D52,IF(Расчет!K52=Данные!$D$116,0,Расчет!K52))</f>
        <v>0</v>
      </c>
      <c r="J52" s="58">
        <f t="shared" si="5"/>
        <v>0</v>
      </c>
      <c r="K52" s="58"/>
      <c r="L52" s="58">
        <v>0</v>
      </c>
      <c r="M52" s="73">
        <f>INT(Данные!$D$119/N52)</f>
        <v>159</v>
      </c>
      <c r="N52" s="79">
        <v>1</v>
      </c>
      <c r="O52" s="125">
        <f t="shared" si="6"/>
        <v>159</v>
      </c>
      <c r="P52" s="125">
        <f>INT(dI/(Расчет!F52+Расчет!G52))</f>
        <v>71</v>
      </c>
      <c r="Q52" s="125"/>
    </row>
    <row r="53" spans="1:17" x14ac:dyDescent="0.25">
      <c r="C53" s="50"/>
      <c r="D53" s="54" t="s">
        <v>68</v>
      </c>
      <c r="E53" s="55"/>
      <c r="F53" s="55"/>
      <c r="G53" s="55"/>
      <c r="H53" s="55"/>
      <c r="I53" s="55"/>
      <c r="J53" s="55"/>
      <c r="K53" s="55"/>
      <c r="L53" s="55"/>
      <c r="M53" s="56"/>
      <c r="N53" s="80"/>
      <c r="O53" s="50"/>
      <c r="P53" s="50"/>
      <c r="Q53" s="50"/>
    </row>
    <row r="54" spans="1:17" x14ac:dyDescent="0.25">
      <c r="C54" s="50"/>
      <c r="D54" s="57" t="s">
        <v>71</v>
      </c>
      <c r="E54" s="58">
        <v>0.1</v>
      </c>
      <c r="F54" s="58">
        <v>2</v>
      </c>
      <c r="G54" s="58">
        <v>0</v>
      </c>
      <c r="H54" s="58">
        <v>0</v>
      </c>
      <c r="I54" s="58"/>
      <c r="J54" s="58"/>
      <c r="K54" s="58"/>
      <c r="L54" s="58"/>
      <c r="M54" s="73">
        <f>SUM(Расчет!D8:D17)</f>
        <v>0</v>
      </c>
      <c r="N54" s="79"/>
      <c r="O54" s="125"/>
      <c r="P54" s="125">
        <f>IF(dI/(Расчет!G54+Расчет!F54)&lt;5-Расчет!I54,MIN(INT(dI/(Расчет!G54+Расчет!F54)),SUM(Расчет!I8:I17)),INT((dI-(SUM(Расчет!I8:I17)-Расчет!I54)*(Расчет!F54+Расчет!G54))/Расчет!F54)+(SUM(Расчет!I8:I17)-Расчет!I54))</f>
        <v>2336</v>
      </c>
      <c r="Q54" s="125">
        <f>SUM(Расчет!D8:D17)-Расчет!D54</f>
        <v>0</v>
      </c>
    </row>
    <row r="55" spans="1:17" x14ac:dyDescent="0.25">
      <c r="C55" s="50"/>
      <c r="D55" s="57" t="s">
        <v>69</v>
      </c>
      <c r="E55" s="58">
        <v>0.1</v>
      </c>
      <c r="F55" s="58">
        <v>10.8</v>
      </c>
      <c r="G55" s="58">
        <v>0</v>
      </c>
      <c r="H55" s="58">
        <v>0</v>
      </c>
      <c r="I55" s="58"/>
      <c r="J55" s="58"/>
      <c r="K55" s="58"/>
      <c r="L55" s="58"/>
      <c r="M55" s="73">
        <f>Расчет!D18</f>
        <v>0</v>
      </c>
      <c r="N55" s="79"/>
      <c r="O55" s="125"/>
      <c r="P55" s="125">
        <f>IF(dI/(Расчет!G55+Расчет!F55)&lt;5-Расчет!I55,MIN(INT(dI/(Расчет!G55+Расчет!F55)),Расчет!I18),INT((dI-(Расчет!I18-Расчет!I55)*(Расчет!F55+Расчет!G55))/Расчет!F55)+(Расчет!I18-Расчет!I55))</f>
        <v>2336</v>
      </c>
      <c r="Q55" s="126">
        <f>Расчет!D18-Расчет!D55</f>
        <v>0</v>
      </c>
    </row>
    <row r="56" spans="1:17" x14ac:dyDescent="0.25">
      <c r="C56" s="50"/>
      <c r="D56" s="57" t="s">
        <v>72</v>
      </c>
      <c r="E56" s="58">
        <v>7.55</v>
      </c>
      <c r="F56" s="58">
        <v>0</v>
      </c>
      <c r="G56" s="58">
        <v>0</v>
      </c>
      <c r="H56" s="58">
        <v>0</v>
      </c>
      <c r="I56" s="58"/>
      <c r="J56" s="58"/>
      <c r="K56" s="58"/>
      <c r="L56" s="58"/>
      <c r="M56" s="73">
        <v>99</v>
      </c>
      <c r="N56" s="79"/>
      <c r="O56" s="125"/>
      <c r="P56" s="127">
        <f>INT((dI+(Расчет!F19+Расчет!G19)*(MAX(0,Расчет!D19-Расчет!D56)-MAX(0,Расчет!D56-Расчет!D19)))/(Расчет!F56+Расчет!F57+Расчет!F19+Расчет!G19))</f>
        <v>18</v>
      </c>
      <c r="Q56" s="125"/>
    </row>
    <row r="57" spans="1:17" x14ac:dyDescent="0.25">
      <c r="C57" s="50"/>
      <c r="D57" s="57" t="s">
        <v>73</v>
      </c>
      <c r="E57" s="58">
        <v>1.5</v>
      </c>
      <c r="F57" s="58">
        <v>0</v>
      </c>
      <c r="G57" s="58">
        <v>0</v>
      </c>
      <c r="H57" s="58">
        <v>0</v>
      </c>
      <c r="I57" s="58"/>
      <c r="J57" s="58"/>
      <c r="K57" s="58"/>
      <c r="L57" s="58"/>
      <c r="M57" s="73">
        <v>99</v>
      </c>
      <c r="N57" s="79"/>
      <c r="O57" s="125"/>
      <c r="P57" s="125">
        <f>P56</f>
        <v>18</v>
      </c>
      <c r="Q57" s="125"/>
    </row>
    <row r="58" spans="1:17" x14ac:dyDescent="0.25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</row>
    <row r="59" spans="1:17" x14ac:dyDescent="0.25">
      <c r="A59" s="50"/>
      <c r="B59" s="59" t="s">
        <v>181</v>
      </c>
      <c r="C59" s="59" t="s">
        <v>182</v>
      </c>
      <c r="D59" s="51"/>
      <c r="E59" s="51"/>
      <c r="F59" s="51"/>
      <c r="G59" s="51"/>
      <c r="H59" s="51"/>
      <c r="I59" s="51"/>
      <c r="J59" s="51"/>
      <c r="K59" s="51"/>
      <c r="L59" s="50"/>
    </row>
    <row r="60" spans="1:17" x14ac:dyDescent="0.25">
      <c r="A60" s="50"/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0"/>
    </row>
    <row r="61" spans="1:17" x14ac:dyDescent="0.25">
      <c r="A61" s="50"/>
      <c r="B61" s="51"/>
      <c r="C61" s="51" t="s">
        <v>187</v>
      </c>
      <c r="D61" s="51"/>
      <c r="E61" s="51"/>
      <c r="F61" s="51"/>
      <c r="G61" s="51"/>
      <c r="H61" s="51"/>
      <c r="I61" s="51" t="s">
        <v>197</v>
      </c>
      <c r="J61" s="51"/>
      <c r="K61" s="51"/>
      <c r="L61" s="50"/>
    </row>
    <row r="62" spans="1:17" x14ac:dyDescent="0.25">
      <c r="A62" s="50"/>
      <c r="B62" s="51"/>
      <c r="C62" s="57" t="s">
        <v>183</v>
      </c>
      <c r="D62" s="57" t="s">
        <v>186</v>
      </c>
      <c r="E62" s="51"/>
      <c r="F62" s="51"/>
      <c r="G62" s="51"/>
      <c r="H62" s="51"/>
      <c r="I62" s="60" t="s">
        <v>79</v>
      </c>
      <c r="J62" s="58" t="s">
        <v>81</v>
      </c>
      <c r="K62" s="58" t="s">
        <v>196</v>
      </c>
      <c r="L62" s="50"/>
    </row>
    <row r="63" spans="1:17" x14ac:dyDescent="0.25">
      <c r="A63" s="50"/>
      <c r="B63" s="51"/>
      <c r="C63" s="57" t="s">
        <v>184</v>
      </c>
      <c r="D63" s="57" t="s">
        <v>185</v>
      </c>
      <c r="E63" s="51"/>
      <c r="F63" s="51"/>
      <c r="G63" s="51"/>
      <c r="H63" s="51"/>
      <c r="I63" s="61" t="s">
        <v>80</v>
      </c>
      <c r="J63" s="62" t="s">
        <v>86</v>
      </c>
      <c r="K63" s="62">
        <v>6</v>
      </c>
      <c r="L63" s="50"/>
    </row>
    <row r="64" spans="1:17" x14ac:dyDescent="0.25">
      <c r="A64" s="50"/>
      <c r="B64" s="51"/>
      <c r="C64" s="51"/>
      <c r="D64" s="51"/>
      <c r="E64" s="51"/>
      <c r="F64" s="51"/>
      <c r="G64" s="51"/>
      <c r="H64" s="51"/>
      <c r="I64" s="63">
        <v>3.3</v>
      </c>
      <c r="J64" s="62" t="s">
        <v>87</v>
      </c>
      <c r="K64" s="62">
        <v>5.4</v>
      </c>
      <c r="L64" s="50"/>
    </row>
    <row r="65" spans="1:12" x14ac:dyDescent="0.25">
      <c r="A65" s="50"/>
      <c r="B65" s="51"/>
      <c r="C65" s="51" t="s">
        <v>188</v>
      </c>
      <c r="D65" s="51"/>
      <c r="E65" s="51"/>
      <c r="F65" s="51"/>
      <c r="G65" s="51"/>
      <c r="H65" s="51"/>
      <c r="I65" s="51"/>
      <c r="J65" s="62" t="s">
        <v>88</v>
      </c>
      <c r="K65" s="62">
        <v>5.3</v>
      </c>
      <c r="L65" s="50"/>
    </row>
    <row r="66" spans="1:12" x14ac:dyDescent="0.25">
      <c r="A66" s="50"/>
      <c r="B66" s="51" t="s">
        <v>374</v>
      </c>
      <c r="C66" s="57" t="s">
        <v>82</v>
      </c>
      <c r="D66" s="57">
        <v>0.95</v>
      </c>
      <c r="E66" s="51"/>
      <c r="F66" s="51"/>
      <c r="G66" s="51"/>
      <c r="H66" s="51"/>
      <c r="I66" s="51"/>
      <c r="J66" s="62" t="s">
        <v>89</v>
      </c>
      <c r="K66" s="62">
        <v>5.3</v>
      </c>
      <c r="L66" s="50"/>
    </row>
    <row r="67" spans="1:12" x14ac:dyDescent="0.25">
      <c r="A67" s="50"/>
      <c r="B67" s="51"/>
      <c r="C67" s="57" t="s">
        <v>83</v>
      </c>
      <c r="D67" s="57">
        <v>2.7650000000000001</v>
      </c>
      <c r="E67" s="51"/>
      <c r="F67" s="51"/>
      <c r="G67" s="51"/>
      <c r="H67" s="51"/>
      <c r="I67" s="51"/>
      <c r="J67" s="62" t="s">
        <v>90</v>
      </c>
      <c r="K67" s="62">
        <v>6.7</v>
      </c>
      <c r="L67" s="50"/>
    </row>
    <row r="68" spans="1:12" x14ac:dyDescent="0.25">
      <c r="A68" s="50"/>
      <c r="B68" s="51"/>
      <c r="C68" s="57" t="s">
        <v>84</v>
      </c>
      <c r="D68" s="57">
        <f>D67/D66</f>
        <v>2.9105263157894741</v>
      </c>
      <c r="E68" s="51"/>
      <c r="F68" s="51"/>
      <c r="G68" s="51"/>
      <c r="H68" s="51"/>
      <c r="I68" s="51"/>
      <c r="J68" s="62" t="s">
        <v>91</v>
      </c>
      <c r="K68" s="62">
        <v>5.9</v>
      </c>
      <c r="L68" s="50"/>
    </row>
    <row r="69" spans="1:12" x14ac:dyDescent="0.25">
      <c r="A69" s="50"/>
      <c r="B69" s="51"/>
      <c r="C69" s="51"/>
      <c r="D69" s="51"/>
      <c r="E69" s="51"/>
      <c r="F69" s="51"/>
      <c r="G69" s="51"/>
      <c r="H69" s="51"/>
      <c r="I69" s="51"/>
      <c r="J69" s="62" t="s">
        <v>92</v>
      </c>
      <c r="K69" s="62">
        <v>5</v>
      </c>
      <c r="L69" s="50"/>
    </row>
    <row r="70" spans="1:12" x14ac:dyDescent="0.25">
      <c r="A70" s="50"/>
      <c r="B70" s="51"/>
      <c r="C70" s="51" t="s">
        <v>189</v>
      </c>
      <c r="D70" s="51"/>
      <c r="E70" s="51"/>
      <c r="F70" s="51"/>
      <c r="G70" s="51"/>
      <c r="H70" s="51"/>
      <c r="I70" s="51"/>
      <c r="J70" s="62" t="s">
        <v>93</v>
      </c>
      <c r="K70" s="62">
        <v>4.8</v>
      </c>
      <c r="L70" s="50"/>
    </row>
    <row r="71" spans="1:12" x14ac:dyDescent="0.25">
      <c r="A71" s="50"/>
      <c r="B71" s="51"/>
      <c r="C71" s="57" t="s">
        <v>85</v>
      </c>
      <c r="D71" s="57">
        <v>5</v>
      </c>
      <c r="E71" s="51"/>
      <c r="F71" s="51"/>
      <c r="G71" s="51"/>
      <c r="H71" s="51"/>
      <c r="I71" s="51"/>
      <c r="J71" s="62" t="s">
        <v>94</v>
      </c>
      <c r="K71" s="62">
        <v>4.8</v>
      </c>
      <c r="L71" s="50"/>
    </row>
    <row r="72" spans="1:12" x14ac:dyDescent="0.25">
      <c r="A72" s="50"/>
      <c r="B72" s="51"/>
      <c r="C72" s="57" t="s">
        <v>434</v>
      </c>
      <c r="D72" s="57">
        <f>K26</f>
        <v>0</v>
      </c>
      <c r="E72" s="51"/>
      <c r="F72" s="51"/>
      <c r="G72" s="51"/>
      <c r="H72" s="51"/>
      <c r="I72" s="51"/>
      <c r="J72" s="62" t="s">
        <v>95</v>
      </c>
      <c r="K72" s="62">
        <v>5.2</v>
      </c>
      <c r="L72" s="50"/>
    </row>
    <row r="73" spans="1:12" x14ac:dyDescent="0.25">
      <c r="A73" s="50"/>
      <c r="B73" s="51"/>
      <c r="H73" s="51"/>
      <c r="I73" s="51"/>
      <c r="J73" s="62" t="s">
        <v>96</v>
      </c>
      <c r="K73" s="62">
        <v>5.5</v>
      </c>
      <c r="L73" s="50"/>
    </row>
    <row r="74" spans="1:12" x14ac:dyDescent="0.25">
      <c r="A74" s="50"/>
      <c r="B74" s="51"/>
      <c r="C74" s="51" t="s">
        <v>195</v>
      </c>
      <c r="D74" s="51"/>
      <c r="E74" s="51"/>
      <c r="F74" s="51"/>
      <c r="G74" s="51"/>
      <c r="H74" s="51"/>
      <c r="I74" s="51"/>
      <c r="J74" s="62" t="s">
        <v>97</v>
      </c>
      <c r="K74" s="62">
        <v>6.2</v>
      </c>
      <c r="L74" s="50"/>
    </row>
    <row r="75" spans="1:12" x14ac:dyDescent="0.25">
      <c r="A75" s="50"/>
      <c r="B75" s="51"/>
      <c r="C75" s="57" t="s">
        <v>191</v>
      </c>
      <c r="D75" s="57" t="s">
        <v>193</v>
      </c>
      <c r="E75" s="57" t="s">
        <v>192</v>
      </c>
      <c r="F75" s="51"/>
      <c r="G75" s="51"/>
      <c r="H75" s="51"/>
      <c r="I75" s="51"/>
      <c r="J75" s="62" t="s">
        <v>98</v>
      </c>
      <c r="K75" s="62">
        <v>10.4</v>
      </c>
      <c r="L75" s="50"/>
    </row>
    <row r="76" spans="1:12" x14ac:dyDescent="0.25">
      <c r="A76" s="50"/>
      <c r="B76" s="51"/>
      <c r="C76" s="57" t="s">
        <v>190</v>
      </c>
      <c r="D76" s="58">
        <v>0</v>
      </c>
      <c r="E76" s="58">
        <v>0</v>
      </c>
      <c r="F76" s="51"/>
      <c r="G76" s="51"/>
      <c r="H76" s="51"/>
      <c r="I76" s="51"/>
      <c r="J76" s="62" t="s">
        <v>99</v>
      </c>
      <c r="K76" s="62">
        <v>5</v>
      </c>
      <c r="L76" s="50"/>
    </row>
    <row r="77" spans="1:12" x14ac:dyDescent="0.25">
      <c r="A77" s="50"/>
      <c r="B77" s="51"/>
      <c r="C77" s="57" t="s">
        <v>194</v>
      </c>
      <c r="D77" s="58">
        <v>8</v>
      </c>
      <c r="E77" s="58">
        <v>25</v>
      </c>
      <c r="F77" s="51"/>
      <c r="G77" s="51"/>
      <c r="H77" s="51"/>
      <c r="I77" s="51"/>
      <c r="J77" s="62" t="s">
        <v>100</v>
      </c>
      <c r="K77" s="62">
        <v>4.8</v>
      </c>
      <c r="L77" s="50"/>
    </row>
    <row r="78" spans="1:12" x14ac:dyDescent="0.25">
      <c r="A78" s="50"/>
      <c r="B78" s="51"/>
      <c r="C78" s="51"/>
      <c r="D78" s="51"/>
      <c r="E78" s="51"/>
      <c r="F78" s="51"/>
      <c r="G78" s="51"/>
      <c r="H78" s="51"/>
      <c r="I78" s="51"/>
      <c r="J78" s="62" t="s">
        <v>101</v>
      </c>
      <c r="K78" s="62">
        <v>4.8</v>
      </c>
      <c r="L78" s="50"/>
    </row>
    <row r="79" spans="1:12" x14ac:dyDescent="0.25">
      <c r="A79" s="50"/>
      <c r="B79" s="51"/>
      <c r="C79" s="66" t="s">
        <v>372</v>
      </c>
      <c r="G79" s="51"/>
      <c r="H79" s="51"/>
      <c r="I79" s="51"/>
      <c r="J79" s="62" t="s">
        <v>102</v>
      </c>
      <c r="K79" s="62">
        <v>5.2</v>
      </c>
      <c r="L79" s="50"/>
    </row>
    <row r="80" spans="1:12" x14ac:dyDescent="0.25">
      <c r="A80" s="50"/>
      <c r="B80" s="51"/>
      <c r="C80" s="57" t="s">
        <v>373</v>
      </c>
      <c r="D80" s="78">
        <v>1.3</v>
      </c>
      <c r="H80" s="51"/>
      <c r="I80" s="51"/>
      <c r="J80" s="62" t="s">
        <v>103</v>
      </c>
      <c r="K80" s="62">
        <v>4.8</v>
      </c>
      <c r="L80" s="50"/>
    </row>
    <row r="81" spans="1:12" x14ac:dyDescent="0.25">
      <c r="A81" s="50"/>
      <c r="B81" s="51"/>
      <c r="H81" s="51"/>
      <c r="I81" s="51"/>
      <c r="J81" s="62" t="s">
        <v>104</v>
      </c>
      <c r="K81" s="62">
        <v>4.3</v>
      </c>
      <c r="L81" s="50"/>
    </row>
    <row r="82" spans="1:12" x14ac:dyDescent="0.25">
      <c r="A82" s="50"/>
      <c r="B82" s="51"/>
      <c r="C82" s="51" t="s">
        <v>219</v>
      </c>
      <c r="D82" s="51"/>
      <c r="E82" s="51"/>
      <c r="F82" s="51"/>
      <c r="G82" s="51"/>
      <c r="H82" s="51"/>
      <c r="I82" s="51"/>
      <c r="J82" s="62" t="s">
        <v>105</v>
      </c>
      <c r="K82" s="62">
        <v>5.2</v>
      </c>
      <c r="L82" s="50"/>
    </row>
    <row r="83" spans="1:12" x14ac:dyDescent="0.25">
      <c r="A83" s="50"/>
      <c r="B83" s="51"/>
      <c r="C83" s="64" t="s">
        <v>198</v>
      </c>
      <c r="D83" s="57">
        <v>0.75</v>
      </c>
      <c r="E83" s="51" t="s">
        <v>199</v>
      </c>
      <c r="F83" s="51"/>
      <c r="G83" s="51"/>
      <c r="H83" s="51"/>
      <c r="I83" s="51"/>
      <c r="J83" s="62" t="s">
        <v>106</v>
      </c>
      <c r="K83" s="62">
        <v>11.1</v>
      </c>
      <c r="L83" s="50"/>
    </row>
    <row r="84" spans="1:12" x14ac:dyDescent="0.25">
      <c r="A84" s="50"/>
      <c r="B84" s="51"/>
      <c r="C84" s="51"/>
      <c r="D84" s="57">
        <v>0.87</v>
      </c>
      <c r="E84" s="51" t="s">
        <v>201</v>
      </c>
      <c r="F84" s="51"/>
      <c r="G84" s="51"/>
      <c r="H84" s="51"/>
      <c r="I84" s="51"/>
      <c r="J84" s="62" t="s">
        <v>107</v>
      </c>
      <c r="K84" s="62">
        <v>10.3</v>
      </c>
      <c r="L84" s="50"/>
    </row>
    <row r="85" spans="1:12" x14ac:dyDescent="0.25">
      <c r="A85" s="50"/>
      <c r="B85" s="51"/>
      <c r="C85" s="51"/>
      <c r="D85" s="57">
        <v>1</v>
      </c>
      <c r="E85" s="51" t="s">
        <v>200</v>
      </c>
      <c r="F85" s="51"/>
      <c r="G85" s="51"/>
      <c r="H85" s="51"/>
      <c r="I85" s="51"/>
      <c r="J85" s="62" t="s">
        <v>108</v>
      </c>
      <c r="K85" s="62">
        <v>5</v>
      </c>
      <c r="L85" s="50"/>
    </row>
    <row r="86" spans="1:12" x14ac:dyDescent="0.25">
      <c r="A86" s="50"/>
      <c r="B86" s="51"/>
      <c r="C86" s="51"/>
      <c r="D86" s="51"/>
      <c r="E86" s="51"/>
      <c r="F86" s="51"/>
      <c r="G86" s="51"/>
      <c r="H86" s="51"/>
      <c r="I86" s="51"/>
      <c r="J86" s="62" t="s">
        <v>109</v>
      </c>
      <c r="K86" s="62">
        <v>10.3</v>
      </c>
      <c r="L86" s="50"/>
    </row>
    <row r="87" spans="1:12" x14ac:dyDescent="0.25">
      <c r="A87" s="50"/>
      <c r="B87" s="51"/>
      <c r="C87" s="51" t="s">
        <v>351</v>
      </c>
      <c r="D87" s="51"/>
      <c r="E87" s="51"/>
      <c r="F87" s="51"/>
      <c r="G87" s="51"/>
      <c r="H87" s="51"/>
      <c r="I87" s="51"/>
      <c r="J87" s="62" t="s">
        <v>110</v>
      </c>
      <c r="K87" s="62">
        <v>4</v>
      </c>
      <c r="L87" s="50"/>
    </row>
    <row r="88" spans="1:12" x14ac:dyDescent="0.25">
      <c r="A88" s="50"/>
      <c r="B88" s="51"/>
      <c r="C88" s="64" t="s">
        <v>352</v>
      </c>
      <c r="D88" s="57">
        <v>40</v>
      </c>
      <c r="E88" s="65" t="s">
        <v>202</v>
      </c>
      <c r="F88" s="66"/>
      <c r="G88" s="66"/>
      <c r="H88" s="51"/>
      <c r="I88" s="51"/>
      <c r="J88" s="62" t="s">
        <v>111</v>
      </c>
      <c r="K88" s="62">
        <v>4.5</v>
      </c>
      <c r="L88" s="50"/>
    </row>
    <row r="89" spans="1:12" x14ac:dyDescent="0.25">
      <c r="A89" s="50"/>
      <c r="B89" s="51"/>
      <c r="C89" s="51"/>
      <c r="D89" s="57">
        <v>50</v>
      </c>
      <c r="E89" s="65" t="s">
        <v>203</v>
      </c>
      <c r="F89" s="66"/>
      <c r="G89" s="66"/>
      <c r="H89" s="51"/>
      <c r="I89" s="51"/>
      <c r="J89" s="62" t="s">
        <v>112</v>
      </c>
      <c r="K89" s="62">
        <v>5.0999999999999996</v>
      </c>
      <c r="L89" s="50"/>
    </row>
    <row r="90" spans="1:12" x14ac:dyDescent="0.25">
      <c r="A90" s="50"/>
      <c r="B90" s="51"/>
      <c r="C90" s="51"/>
      <c r="D90" s="51"/>
      <c r="E90" s="51"/>
      <c r="F90" s="66"/>
      <c r="G90" s="51"/>
      <c r="H90" s="51"/>
      <c r="I90" s="51"/>
      <c r="J90" s="62" t="s">
        <v>113</v>
      </c>
      <c r="K90" s="62">
        <v>4.9000000000000004</v>
      </c>
      <c r="L90" s="50"/>
    </row>
    <row r="91" spans="1:12" x14ac:dyDescent="0.25">
      <c r="A91" s="50"/>
      <c r="B91" s="51"/>
      <c r="C91" s="51" t="s">
        <v>223</v>
      </c>
      <c r="D91" s="51"/>
      <c r="E91" s="51"/>
      <c r="F91" s="51"/>
      <c r="G91" s="51"/>
      <c r="H91" s="51"/>
      <c r="I91" s="51"/>
      <c r="J91" s="62" t="s">
        <v>114</v>
      </c>
      <c r="K91" s="62">
        <v>5.4</v>
      </c>
      <c r="L91" s="50"/>
    </row>
    <row r="92" spans="1:12" x14ac:dyDescent="0.25">
      <c r="A92" s="50"/>
      <c r="B92" s="51"/>
      <c r="C92" s="57" t="s">
        <v>224</v>
      </c>
      <c r="D92" s="57">
        <v>1.25</v>
      </c>
      <c r="E92" s="51"/>
      <c r="F92" s="51"/>
      <c r="G92" s="51"/>
      <c r="H92" s="51"/>
      <c r="I92" s="51"/>
      <c r="J92" s="62" t="s">
        <v>115</v>
      </c>
      <c r="K92" s="62">
        <v>10.1</v>
      </c>
      <c r="L92" s="50"/>
    </row>
    <row r="93" spans="1:12" x14ac:dyDescent="0.25">
      <c r="A93" s="50"/>
      <c r="B93" s="51"/>
      <c r="C93" s="57" t="s">
        <v>225</v>
      </c>
      <c r="D93" s="57">
        <v>24</v>
      </c>
      <c r="E93" s="51"/>
      <c r="F93" s="51"/>
      <c r="G93" s="51"/>
      <c r="H93" s="51"/>
      <c r="I93" s="51"/>
      <c r="J93" s="62" t="s">
        <v>116</v>
      </c>
      <c r="K93" s="62">
        <v>5.3</v>
      </c>
      <c r="L93" s="50"/>
    </row>
    <row r="94" spans="1:12" x14ac:dyDescent="0.25">
      <c r="A94" s="50"/>
      <c r="B94" s="51"/>
      <c r="C94" s="57" t="s">
        <v>226</v>
      </c>
      <c r="D94" s="57">
        <v>3</v>
      </c>
      <c r="E94" s="51"/>
      <c r="F94" s="51"/>
      <c r="G94" s="51"/>
      <c r="H94" s="51"/>
      <c r="I94" s="51"/>
      <c r="J94" s="62" t="s">
        <v>117</v>
      </c>
      <c r="K94" s="62">
        <v>5.2</v>
      </c>
      <c r="L94" s="50"/>
    </row>
    <row r="95" spans="1:12" x14ac:dyDescent="0.25">
      <c r="A95" s="50"/>
      <c r="B95" s="51"/>
      <c r="C95" s="51"/>
      <c r="D95" s="51"/>
      <c r="E95" s="51"/>
      <c r="F95" s="51"/>
      <c r="G95" s="51"/>
      <c r="H95" s="51"/>
      <c r="I95" s="51"/>
      <c r="J95" s="62" t="s">
        <v>118</v>
      </c>
      <c r="K95" s="62">
        <v>2.5</v>
      </c>
      <c r="L95" s="50"/>
    </row>
    <row r="96" spans="1:12" x14ac:dyDescent="0.25">
      <c r="A96" s="50"/>
      <c r="B96" s="51"/>
      <c r="C96" s="51"/>
      <c r="D96" s="51"/>
      <c r="E96" s="51"/>
      <c r="F96" s="51"/>
      <c r="G96" s="51"/>
      <c r="H96" s="51"/>
      <c r="I96" s="51"/>
      <c r="J96" s="62" t="s">
        <v>119</v>
      </c>
      <c r="K96" s="62">
        <v>2.9</v>
      </c>
      <c r="L96" s="50"/>
    </row>
    <row r="97" spans="1:12" x14ac:dyDescent="0.25">
      <c r="A97" s="50"/>
      <c r="B97" s="51"/>
      <c r="C97" s="51" t="s">
        <v>207</v>
      </c>
      <c r="D97" s="51"/>
      <c r="E97" s="51"/>
      <c r="F97" s="51"/>
      <c r="G97" s="51"/>
      <c r="H97" s="51"/>
      <c r="I97" s="51"/>
      <c r="J97" s="62" t="s">
        <v>120</v>
      </c>
      <c r="K97" s="62">
        <v>2.8</v>
      </c>
      <c r="L97" s="50"/>
    </row>
    <row r="98" spans="1:12" x14ac:dyDescent="0.25">
      <c r="A98" s="50"/>
      <c r="B98" s="51"/>
      <c r="C98" s="57" t="s">
        <v>204</v>
      </c>
      <c r="D98" s="57">
        <v>2000</v>
      </c>
      <c r="E98" s="51"/>
      <c r="F98" s="51"/>
      <c r="G98" s="51"/>
      <c r="H98" s="51"/>
      <c r="I98" s="51"/>
      <c r="J98" s="62" t="s">
        <v>121</v>
      </c>
      <c r="K98" s="62">
        <v>2.6</v>
      </c>
      <c r="L98" s="50"/>
    </row>
    <row r="99" spans="1:12" x14ac:dyDescent="0.25">
      <c r="A99" s="50"/>
      <c r="B99" s="51"/>
      <c r="C99" s="57" t="s">
        <v>205</v>
      </c>
      <c r="D99" s="57">
        <v>4000</v>
      </c>
      <c r="E99" s="51"/>
      <c r="F99" s="51"/>
      <c r="G99" s="51"/>
      <c r="H99" s="51"/>
      <c r="I99" s="51"/>
      <c r="J99" s="62" t="s">
        <v>122</v>
      </c>
      <c r="K99" s="62">
        <v>2.6</v>
      </c>
      <c r="L99" s="50"/>
    </row>
    <row r="100" spans="1:12" x14ac:dyDescent="0.25">
      <c r="A100" s="50"/>
      <c r="B100" s="51"/>
      <c r="C100" s="57" t="s">
        <v>206</v>
      </c>
      <c r="D100" s="57" t="b">
        <f>SUM(Расчет!D19:D22)=0</f>
        <v>1</v>
      </c>
      <c r="E100" s="51"/>
      <c r="F100" s="51"/>
      <c r="G100" s="51"/>
      <c r="H100" s="51"/>
      <c r="I100" s="51"/>
      <c r="J100" s="62" t="s">
        <v>123</v>
      </c>
      <c r="K100" s="62">
        <v>2.5</v>
      </c>
      <c r="L100" s="50"/>
    </row>
    <row r="101" spans="1:12" x14ac:dyDescent="0.25">
      <c r="A101" s="50"/>
      <c r="B101" s="51"/>
      <c r="C101" s="57" t="s">
        <v>213</v>
      </c>
      <c r="D101" s="57">
        <v>1.7999999999999999E-2</v>
      </c>
      <c r="E101" s="51"/>
      <c r="F101" s="51"/>
      <c r="G101" s="51"/>
      <c r="H101" s="51"/>
      <c r="I101" s="51"/>
      <c r="J101" s="62" t="s">
        <v>124</v>
      </c>
      <c r="K101" s="62">
        <v>2.5</v>
      </c>
      <c r="L101" s="50"/>
    </row>
    <row r="102" spans="1:12" x14ac:dyDescent="0.25">
      <c r="A102" s="50"/>
      <c r="B102" s="51"/>
      <c r="C102" s="57" t="s">
        <v>214</v>
      </c>
      <c r="D102" s="57">
        <v>2000</v>
      </c>
      <c r="E102" s="51"/>
      <c r="F102" s="51"/>
      <c r="G102" s="51"/>
      <c r="H102" s="51"/>
      <c r="I102" s="51"/>
      <c r="J102" s="62" t="s">
        <v>125</v>
      </c>
      <c r="K102" s="62">
        <v>2.2999999999999998</v>
      </c>
      <c r="L102" s="50"/>
    </row>
    <row r="103" spans="1:12" x14ac:dyDescent="0.25">
      <c r="A103" s="50"/>
      <c r="B103" s="51"/>
      <c r="C103" s="57" t="s">
        <v>218</v>
      </c>
      <c r="D103" s="57">
        <v>0</v>
      </c>
      <c r="E103" s="51"/>
      <c r="F103" s="51"/>
      <c r="G103" s="51"/>
      <c r="H103" s="51"/>
      <c r="I103" s="51"/>
      <c r="J103" s="62" t="s">
        <v>126</v>
      </c>
      <c r="K103" s="62">
        <v>2.2000000000000002</v>
      </c>
      <c r="L103" s="50"/>
    </row>
    <row r="104" spans="1:12" x14ac:dyDescent="0.25">
      <c r="A104" s="50"/>
      <c r="B104" s="51"/>
      <c r="C104" s="54" t="s">
        <v>179</v>
      </c>
      <c r="D104" s="67">
        <f>D108*Расчет!D60/MAX(Расчет!D65,1)-Расчет!D98</f>
        <v>11136</v>
      </c>
      <c r="E104" s="51"/>
      <c r="F104" s="51"/>
      <c r="G104" s="51"/>
      <c r="H104" s="51"/>
      <c r="I104" s="51"/>
      <c r="J104" s="62" t="s">
        <v>127</v>
      </c>
      <c r="K104" s="62">
        <v>2.7</v>
      </c>
      <c r="L104" s="50"/>
    </row>
    <row r="105" spans="1:12" x14ac:dyDescent="0.25">
      <c r="A105" s="50"/>
      <c r="B105" s="51"/>
      <c r="C105" s="54" t="s">
        <v>180</v>
      </c>
      <c r="D105" s="68">
        <f>(Расчет!D66-Расчет!D65)/(Расчет!D66/100)</f>
        <v>99.999999999999986</v>
      </c>
      <c r="E105" s="51" t="s">
        <v>229</v>
      </c>
      <c r="F105" s="51"/>
      <c r="G105" s="51"/>
      <c r="H105" s="51"/>
      <c r="I105" s="51"/>
      <c r="J105" s="62" t="s">
        <v>128</v>
      </c>
      <c r="K105" s="62">
        <v>2.5</v>
      </c>
      <c r="L105" s="50"/>
    </row>
    <row r="106" spans="1:12" x14ac:dyDescent="0.25">
      <c r="A106" s="50"/>
      <c r="B106" s="51"/>
      <c r="C106" s="51"/>
      <c r="D106" s="51"/>
      <c r="E106" s="51"/>
      <c r="F106" s="51"/>
      <c r="G106" s="51"/>
      <c r="H106" s="51"/>
      <c r="I106" s="51"/>
      <c r="J106" s="62" t="s">
        <v>129</v>
      </c>
      <c r="K106" s="62">
        <v>2.6</v>
      </c>
      <c r="L106" s="50"/>
    </row>
    <row r="107" spans="1:12" x14ac:dyDescent="0.25">
      <c r="A107" s="50"/>
      <c r="B107" s="51"/>
      <c r="C107" s="51" t="s">
        <v>215</v>
      </c>
      <c r="D107" s="51"/>
      <c r="E107" s="51"/>
      <c r="F107" s="51"/>
      <c r="G107" s="51"/>
      <c r="H107" s="51"/>
      <c r="I107" s="51"/>
      <c r="J107" s="62" t="s">
        <v>130</v>
      </c>
      <c r="K107" s="62">
        <v>3.6</v>
      </c>
      <c r="L107" s="50"/>
    </row>
    <row r="108" spans="1:12" x14ac:dyDescent="0.25">
      <c r="A108" s="50"/>
      <c r="B108" s="51"/>
      <c r="C108" s="57" t="s">
        <v>216</v>
      </c>
      <c r="D108" s="57">
        <f>IF(OR(D62=D114,Расчет!D28&gt;0,Расчет!D27&gt;0),E114,E113)</f>
        <v>12800</v>
      </c>
      <c r="E108" s="51"/>
      <c r="F108" s="51"/>
      <c r="G108" s="51"/>
      <c r="H108" s="51"/>
      <c r="I108" s="51"/>
      <c r="J108" s="62" t="s">
        <v>131</v>
      </c>
      <c r="K108" s="62">
        <v>2.4</v>
      </c>
      <c r="L108" s="50"/>
    </row>
    <row r="109" spans="1:12" x14ac:dyDescent="0.25">
      <c r="A109" s="50"/>
      <c r="B109" s="51"/>
      <c r="C109" s="57" t="s">
        <v>217</v>
      </c>
      <c r="D109" s="57">
        <v>15</v>
      </c>
      <c r="E109" s="51"/>
      <c r="F109" s="51"/>
      <c r="G109" s="51"/>
      <c r="H109" s="51"/>
      <c r="I109" s="51"/>
      <c r="J109" s="62" t="s">
        <v>132</v>
      </c>
      <c r="K109" s="62">
        <v>2.2999999999999998</v>
      </c>
      <c r="L109" s="50"/>
    </row>
    <row r="110" spans="1:12" x14ac:dyDescent="0.25">
      <c r="A110" s="50"/>
      <c r="B110" s="51"/>
      <c r="C110" s="51"/>
      <c r="D110" s="51"/>
      <c r="E110" s="51"/>
      <c r="F110" s="51"/>
      <c r="G110" s="51"/>
      <c r="H110" s="51"/>
      <c r="I110" s="51"/>
      <c r="J110" s="62" t="s">
        <v>133</v>
      </c>
      <c r="K110" s="62">
        <v>2.2999999999999998</v>
      </c>
      <c r="L110" s="50"/>
    </row>
    <row r="111" spans="1:12" x14ac:dyDescent="0.25">
      <c r="A111" s="50"/>
      <c r="B111" s="51"/>
      <c r="C111" s="51"/>
      <c r="D111" s="51"/>
      <c r="E111" s="51"/>
      <c r="F111" s="51"/>
      <c r="G111" s="51"/>
      <c r="H111" s="51"/>
      <c r="I111" s="51"/>
      <c r="J111" s="62" t="s">
        <v>134</v>
      </c>
      <c r="K111" s="62">
        <v>2.7</v>
      </c>
      <c r="L111" s="50"/>
    </row>
    <row r="112" spans="1:12" x14ac:dyDescent="0.25">
      <c r="A112" s="50"/>
      <c r="B112" s="51"/>
      <c r="C112" s="51" t="s">
        <v>347</v>
      </c>
      <c r="D112" s="51"/>
      <c r="E112" s="51"/>
      <c r="F112" s="51"/>
      <c r="G112" s="51"/>
      <c r="H112" s="51"/>
      <c r="I112" s="51"/>
      <c r="J112" s="62" t="s">
        <v>135</v>
      </c>
      <c r="K112" s="62">
        <v>2.2999999999999998</v>
      </c>
      <c r="L112" s="50"/>
    </row>
    <row r="113" spans="1:12" x14ac:dyDescent="0.25">
      <c r="A113" s="50"/>
      <c r="B113" s="51"/>
      <c r="C113" s="64" t="s">
        <v>220</v>
      </c>
      <c r="D113" s="57" t="s">
        <v>185</v>
      </c>
      <c r="E113" s="57">
        <v>15200</v>
      </c>
      <c r="F113" s="51"/>
      <c r="G113" s="51"/>
      <c r="H113" s="51"/>
      <c r="I113" s="51"/>
      <c r="J113" s="62" t="s">
        <v>136</v>
      </c>
      <c r="K113" s="62">
        <v>2.1</v>
      </c>
      <c r="L113" s="50"/>
    </row>
    <row r="114" spans="1:12" x14ac:dyDescent="0.25">
      <c r="A114" s="50"/>
      <c r="B114" s="51"/>
      <c r="C114" s="51"/>
      <c r="D114" s="57" t="s">
        <v>186</v>
      </c>
      <c r="E114" s="57">
        <v>12800</v>
      </c>
      <c r="F114" s="51"/>
      <c r="G114" s="51"/>
      <c r="H114" s="51"/>
      <c r="I114" s="51"/>
      <c r="J114" s="62" t="s">
        <v>137</v>
      </c>
      <c r="K114" s="62">
        <v>2.9</v>
      </c>
      <c r="L114" s="50"/>
    </row>
    <row r="115" spans="1:12" x14ac:dyDescent="0.25">
      <c r="A115" s="50"/>
      <c r="B115" s="51"/>
      <c r="C115" s="64" t="s">
        <v>221</v>
      </c>
      <c r="D115" s="57" t="s">
        <v>185</v>
      </c>
      <c r="E115" s="51"/>
      <c r="F115" s="51"/>
      <c r="G115" s="51"/>
      <c r="H115" s="51"/>
      <c r="I115" s="51"/>
      <c r="J115" s="62" t="s">
        <v>138</v>
      </c>
      <c r="K115" s="62">
        <v>3.1</v>
      </c>
      <c r="L115" s="50"/>
    </row>
    <row r="116" spans="1:12" x14ac:dyDescent="0.25">
      <c r="A116" s="50"/>
      <c r="B116" s="51"/>
      <c r="C116" s="51"/>
      <c r="D116" s="57" t="s">
        <v>222</v>
      </c>
      <c r="E116" s="51"/>
      <c r="F116" s="51"/>
      <c r="G116" s="51"/>
      <c r="H116" s="51"/>
      <c r="I116" s="51"/>
      <c r="J116" s="62" t="s">
        <v>139</v>
      </c>
      <c r="K116" s="62">
        <v>3.5</v>
      </c>
      <c r="L116" s="50"/>
    </row>
    <row r="117" spans="1:12" x14ac:dyDescent="0.25">
      <c r="A117" s="50"/>
      <c r="B117" s="51"/>
      <c r="C117" s="51"/>
      <c r="D117" s="51"/>
      <c r="E117" s="51"/>
      <c r="F117" s="51"/>
      <c r="G117" s="51"/>
      <c r="H117" s="51"/>
      <c r="I117" s="51"/>
      <c r="J117" s="62" t="s">
        <v>140</v>
      </c>
      <c r="K117" s="62">
        <v>2.6</v>
      </c>
      <c r="L117" s="50"/>
    </row>
    <row r="118" spans="1:12" x14ac:dyDescent="0.25">
      <c r="A118" s="50"/>
      <c r="B118" s="51"/>
      <c r="C118" s="51" t="s">
        <v>231</v>
      </c>
      <c r="D118" s="51"/>
      <c r="E118" s="51"/>
      <c r="F118" s="51"/>
      <c r="G118" s="51"/>
      <c r="H118" s="51"/>
      <c r="I118" s="51"/>
      <c r="J118" s="62" t="s">
        <v>141</v>
      </c>
      <c r="K118" s="62">
        <v>3.5</v>
      </c>
      <c r="L118" s="50"/>
    </row>
    <row r="119" spans="1:12" x14ac:dyDescent="0.25">
      <c r="A119" s="50"/>
      <c r="B119" s="51"/>
      <c r="C119" s="57" t="s">
        <v>232</v>
      </c>
      <c r="D119" s="57">
        <v>159</v>
      </c>
      <c r="E119" s="51"/>
      <c r="F119" s="51"/>
      <c r="G119" s="51"/>
      <c r="H119" s="51"/>
      <c r="I119" s="51"/>
      <c r="J119" s="62" t="s">
        <v>142</v>
      </c>
      <c r="K119" s="62">
        <v>2.2999999999999998</v>
      </c>
      <c r="L119" s="50"/>
    </row>
    <row r="120" spans="1:12" x14ac:dyDescent="0.25">
      <c r="A120" s="50"/>
      <c r="B120" s="51"/>
      <c r="C120" s="57" t="s">
        <v>233</v>
      </c>
      <c r="D120" s="57">
        <v>99</v>
      </c>
      <c r="E120" s="51"/>
      <c r="F120" s="51"/>
      <c r="G120" s="51"/>
      <c r="H120" s="51"/>
      <c r="I120" s="51"/>
      <c r="J120" s="62" t="s">
        <v>143</v>
      </c>
      <c r="K120" s="62">
        <v>2.5</v>
      </c>
      <c r="L120" s="50"/>
    </row>
    <row r="121" spans="1:12" x14ac:dyDescent="0.25">
      <c r="A121" s="50"/>
      <c r="B121" s="51"/>
      <c r="C121" s="57" t="s">
        <v>472</v>
      </c>
      <c r="D121" s="78">
        <v>15</v>
      </c>
      <c r="E121" s="51"/>
      <c r="F121" s="51"/>
      <c r="G121" s="51"/>
      <c r="H121" s="51"/>
      <c r="I121" s="51"/>
      <c r="J121" s="62" t="s">
        <v>144</v>
      </c>
      <c r="K121" s="62">
        <v>2.8</v>
      </c>
      <c r="L121" s="50"/>
    </row>
    <row r="122" spans="1:12" x14ac:dyDescent="0.25">
      <c r="A122" s="50"/>
      <c r="B122" s="51"/>
      <c r="C122" s="78" t="s">
        <v>235</v>
      </c>
      <c r="D122" s="57">
        <v>5</v>
      </c>
      <c r="F122" s="51"/>
      <c r="G122" s="51"/>
      <c r="H122" s="51"/>
      <c r="I122" s="51"/>
      <c r="J122" s="62" t="s">
        <v>145</v>
      </c>
      <c r="K122" s="62">
        <v>2.6</v>
      </c>
      <c r="L122" s="50"/>
    </row>
    <row r="123" spans="1:12" x14ac:dyDescent="0.25">
      <c r="A123" s="50"/>
      <c r="B123" s="51"/>
      <c r="C123" s="57" t="s">
        <v>509</v>
      </c>
      <c r="D123" s="78">
        <f>CEILING((Nix-Nu/MAX(1,Ni))*Ni,1)</f>
        <v>0</v>
      </c>
      <c r="E123" s="78" t="s">
        <v>511</v>
      </c>
      <c r="H123" s="51"/>
      <c r="I123" s="51"/>
      <c r="J123" s="62" t="s">
        <v>146</v>
      </c>
      <c r="K123" s="62">
        <v>2.5</v>
      </c>
      <c r="L123" s="50"/>
    </row>
    <row r="124" spans="1:12" x14ac:dyDescent="0.25">
      <c r="A124" s="50"/>
      <c r="B124" s="51"/>
      <c r="C124" s="137" t="s">
        <v>510</v>
      </c>
      <c r="D124" s="78">
        <f>MOD(MOD(Dn,10),10)</f>
        <v>0</v>
      </c>
      <c r="E124" s="125" t="str">
        <f>IF(AND(Dn&gt;5,Dn&lt;21),"",IF(D124=1,"о",IF(OR(D124=2,D124=3,D124=4),"а","")))</f>
        <v/>
      </c>
      <c r="H124" s="51"/>
      <c r="I124" s="51"/>
      <c r="J124" s="62" t="s">
        <v>147</v>
      </c>
      <c r="K124" s="62">
        <v>3.4</v>
      </c>
      <c r="L124" s="50"/>
    </row>
    <row r="125" spans="1:12" x14ac:dyDescent="0.25">
      <c r="A125" s="50"/>
      <c r="B125" s="51"/>
      <c r="C125" s="57" t="s">
        <v>234</v>
      </c>
      <c r="D125" s="57">
        <f>INT(D119*2/D122)</f>
        <v>63</v>
      </c>
      <c r="E125" s="51"/>
      <c r="F125" s="51"/>
      <c r="G125" s="51"/>
      <c r="H125" s="51"/>
      <c r="I125" s="51"/>
      <c r="J125" s="62" t="s">
        <v>148</v>
      </c>
      <c r="K125" s="62">
        <v>2.7</v>
      </c>
      <c r="L125" s="50"/>
    </row>
    <row r="126" spans="1:12" x14ac:dyDescent="0.25">
      <c r="A126" s="50"/>
      <c r="B126" s="51"/>
      <c r="C126" s="57" t="s">
        <v>236</v>
      </c>
      <c r="D126" s="57">
        <v>15</v>
      </c>
      <c r="E126" s="51"/>
      <c r="F126" s="51"/>
      <c r="G126" s="51"/>
      <c r="H126" s="51"/>
      <c r="I126" s="51"/>
      <c r="J126" s="62" t="s">
        <v>149</v>
      </c>
      <c r="K126" s="62">
        <v>2.6</v>
      </c>
      <c r="L126" s="50"/>
    </row>
    <row r="127" spans="1:12" x14ac:dyDescent="0.25">
      <c r="A127" s="50"/>
      <c r="B127" s="51"/>
      <c r="C127" s="57" t="s">
        <v>249</v>
      </c>
      <c r="D127" s="57">
        <v>24</v>
      </c>
      <c r="E127" s="51"/>
      <c r="F127" s="51"/>
      <c r="H127" s="51"/>
      <c r="I127" s="51"/>
      <c r="J127" s="51"/>
      <c r="K127" s="51"/>
      <c r="L127" s="50"/>
    </row>
    <row r="128" spans="1:12" x14ac:dyDescent="0.25">
      <c r="A128" s="50"/>
      <c r="B128" s="51"/>
      <c r="G128" s="51"/>
      <c r="H128" s="51"/>
      <c r="I128" s="51"/>
      <c r="J128" s="51"/>
      <c r="K128" s="51"/>
      <c r="L128" s="50"/>
    </row>
    <row r="129" spans="1:12" x14ac:dyDescent="0.25">
      <c r="A129" s="50"/>
      <c r="B129" s="51"/>
      <c r="C129" s="51" t="s">
        <v>237</v>
      </c>
      <c r="D129" s="51"/>
      <c r="E129" s="51"/>
      <c r="F129" s="51"/>
      <c r="H129" s="51"/>
      <c r="I129" s="51"/>
      <c r="J129" s="51"/>
      <c r="K129" s="51"/>
      <c r="L129" s="50"/>
    </row>
    <row r="130" spans="1:12" x14ac:dyDescent="0.25">
      <c r="A130" s="50"/>
      <c r="B130" s="51"/>
      <c r="C130" s="57" t="s">
        <v>252</v>
      </c>
      <c r="D130" s="57" t="s">
        <v>253</v>
      </c>
      <c r="E130" s="69" t="s">
        <v>254</v>
      </c>
      <c r="F130" s="70"/>
      <c r="G130" s="71"/>
      <c r="H130" s="51"/>
      <c r="I130" s="51"/>
      <c r="J130" s="51"/>
      <c r="K130" s="51"/>
      <c r="L130" s="50"/>
    </row>
    <row r="131" spans="1:12" x14ac:dyDescent="0.25">
      <c r="A131" s="50"/>
      <c r="B131" s="51"/>
      <c r="C131" s="57" t="s">
        <v>255</v>
      </c>
      <c r="D131" s="57" t="b">
        <f>AND(OR(D132:D137,D138:D143)=FALSE,Расчет!D85&gt;0)</f>
        <v>0</v>
      </c>
      <c r="E131" s="54" t="s">
        <v>255</v>
      </c>
      <c r="F131" s="70"/>
      <c r="G131" s="71"/>
      <c r="H131" s="51"/>
      <c r="I131" s="51"/>
      <c r="J131" s="51"/>
      <c r="K131" s="51"/>
      <c r="L131" s="50"/>
    </row>
    <row r="132" spans="1:12" x14ac:dyDescent="0.25">
      <c r="A132" s="50"/>
      <c r="B132" s="51"/>
      <c r="C132" s="72" t="s">
        <v>238</v>
      </c>
      <c r="D132" s="72" t="b">
        <f>(Расчет!D65&gt;Расчет!D66)</f>
        <v>0</v>
      </c>
      <c r="E132" s="54" t="s">
        <v>238</v>
      </c>
      <c r="F132" s="70"/>
      <c r="G132" s="71"/>
      <c r="H132" s="51"/>
      <c r="I132" s="51"/>
      <c r="J132" s="51"/>
      <c r="K132" s="51"/>
      <c r="L132" s="50"/>
    </row>
    <row r="133" spans="1:12" x14ac:dyDescent="0.25">
      <c r="A133" s="50"/>
      <c r="B133" s="51"/>
      <c r="C133" s="57" t="s">
        <v>239</v>
      </c>
      <c r="D133" s="57" t="b">
        <f>Расчет!D73&gt;D127</f>
        <v>0</v>
      </c>
      <c r="E133" s="54" t="s">
        <v>357</v>
      </c>
      <c r="F133" s="70"/>
      <c r="G133" s="71"/>
      <c r="H133" s="51"/>
      <c r="I133" s="51"/>
      <c r="J133" s="51"/>
      <c r="K133" s="51"/>
      <c r="L133" s="50"/>
    </row>
    <row r="134" spans="1:12" x14ac:dyDescent="0.25">
      <c r="A134" s="50"/>
      <c r="B134" s="51"/>
      <c r="C134" s="57" t="s">
        <v>240</v>
      </c>
      <c r="D134" s="57" t="b">
        <f>Расчет!D86&gt;D119</f>
        <v>0</v>
      </c>
      <c r="E134" s="54" t="s">
        <v>240</v>
      </c>
      <c r="F134" s="70"/>
      <c r="G134" s="71"/>
      <c r="H134" s="51"/>
      <c r="I134" s="51"/>
      <c r="J134" s="51"/>
      <c r="K134" s="51"/>
      <c r="L134" s="50"/>
    </row>
    <row r="135" spans="1:12" x14ac:dyDescent="0.25">
      <c r="A135" s="50"/>
      <c r="B135" s="51"/>
      <c r="C135" s="57" t="s">
        <v>241</v>
      </c>
      <c r="D135" s="57" t="b">
        <f>Расчет!D87&gt;D120</f>
        <v>0</v>
      </c>
      <c r="E135" s="76"/>
      <c r="F135" s="51"/>
      <c r="G135" s="51"/>
      <c r="H135" s="51"/>
      <c r="I135" s="51"/>
      <c r="J135" s="51"/>
      <c r="K135" s="51"/>
      <c r="L135" s="50"/>
    </row>
    <row r="136" spans="1:12" x14ac:dyDescent="0.25">
      <c r="A136" s="50"/>
      <c r="B136" s="51"/>
      <c r="C136" s="57" t="s">
        <v>242</v>
      </c>
      <c r="D136" s="57" t="b">
        <f>Расчет!D88&gt;D119</f>
        <v>0</v>
      </c>
      <c r="E136" s="54" t="s">
        <v>242</v>
      </c>
      <c r="F136" s="70"/>
      <c r="G136" s="71"/>
      <c r="H136" s="51"/>
      <c r="I136" s="51"/>
      <c r="J136" s="51"/>
      <c r="K136" s="51"/>
      <c r="L136" s="50"/>
    </row>
    <row r="137" spans="1:12" x14ac:dyDescent="0.25">
      <c r="A137" s="50"/>
      <c r="B137" s="51"/>
      <c r="C137" s="57" t="s">
        <v>243</v>
      </c>
      <c r="D137" s="57" t="b">
        <f>Расчет!D89&gt;D120</f>
        <v>0</v>
      </c>
      <c r="E137" s="76"/>
      <c r="F137" s="51"/>
      <c r="G137" s="51"/>
      <c r="H137" s="51"/>
      <c r="I137" s="51"/>
      <c r="J137" s="51"/>
      <c r="K137" s="51"/>
      <c r="L137" s="50"/>
    </row>
    <row r="138" spans="1:12" x14ac:dyDescent="0.25">
      <c r="A138" s="50"/>
      <c r="B138" s="50"/>
      <c r="C138" s="57" t="s">
        <v>245</v>
      </c>
      <c r="D138" s="57" t="b">
        <f>AND(Расчет!D19&gt;0,Расчет!D56=0)</f>
        <v>0</v>
      </c>
      <c r="E138" s="54" t="s">
        <v>256</v>
      </c>
      <c r="F138" s="70"/>
      <c r="G138" s="71"/>
      <c r="H138" s="50"/>
      <c r="I138" s="50"/>
      <c r="J138" s="50"/>
      <c r="K138" s="50"/>
      <c r="L138" s="50"/>
    </row>
    <row r="139" spans="1:12" x14ac:dyDescent="0.25">
      <c r="A139" s="50"/>
      <c r="B139" s="50"/>
      <c r="C139" s="57" t="s">
        <v>360</v>
      </c>
      <c r="D139" s="57" t="b">
        <f>Расчет!D56&gt;Расчет!D19</f>
        <v>0</v>
      </c>
      <c r="E139" s="76"/>
      <c r="F139" s="51"/>
      <c r="G139" s="51"/>
      <c r="H139" s="50"/>
      <c r="I139" s="50"/>
      <c r="J139" s="50"/>
      <c r="K139" s="50"/>
      <c r="L139" s="50"/>
    </row>
    <row r="140" spans="1:12" x14ac:dyDescent="0.25">
      <c r="A140" s="50"/>
      <c r="B140" s="50"/>
      <c r="C140" s="57" t="s">
        <v>244</v>
      </c>
      <c r="D140" s="57" t="b">
        <f>Расчет!D92&gt;D126</f>
        <v>0</v>
      </c>
      <c r="E140" s="76"/>
      <c r="F140" s="51"/>
      <c r="G140" s="51"/>
      <c r="H140" s="50"/>
      <c r="I140" s="50"/>
      <c r="J140" s="50"/>
      <c r="K140" s="50"/>
      <c r="L140" s="50"/>
    </row>
    <row r="141" spans="1:12" x14ac:dyDescent="0.25">
      <c r="A141" s="50"/>
      <c r="B141" s="50"/>
      <c r="C141" s="57" t="s">
        <v>246</v>
      </c>
      <c r="D141" s="57" t="b">
        <f>SUM(Расчет!K8:K22,Расчет!K24:K32,Расчет!K36:K52)&gt;SUM(Данные!I8:I53)</f>
        <v>0</v>
      </c>
      <c r="E141" s="54" t="s">
        <v>303</v>
      </c>
      <c r="F141" s="70"/>
      <c r="G141" s="71"/>
      <c r="H141" s="50"/>
      <c r="I141" s="50"/>
      <c r="J141" s="50"/>
      <c r="K141" s="50"/>
      <c r="L141" s="50"/>
    </row>
    <row r="142" spans="1:12" x14ac:dyDescent="0.25">
      <c r="A142" s="50"/>
      <c r="B142" s="50"/>
      <c r="C142" s="57" t="s">
        <v>247</v>
      </c>
      <c r="D142" s="57" t="b">
        <f>Расчет!D54&gt;Данные!M54</f>
        <v>0</v>
      </c>
      <c r="E142" s="54" t="s">
        <v>257</v>
      </c>
      <c r="F142" s="70"/>
      <c r="G142" s="71"/>
      <c r="H142" s="50"/>
      <c r="I142" s="50"/>
      <c r="J142" s="50"/>
      <c r="K142" s="50"/>
      <c r="L142" s="50"/>
    </row>
    <row r="143" spans="1:12" x14ac:dyDescent="0.25">
      <c r="A143" s="50"/>
      <c r="B143" s="50"/>
      <c r="C143" s="57" t="s">
        <v>251</v>
      </c>
      <c r="D143" s="57" t="b">
        <f>Расчет!D55&gt;Данные!M55</f>
        <v>0</v>
      </c>
      <c r="E143" s="77" t="s">
        <v>362</v>
      </c>
      <c r="F143" s="73"/>
      <c r="G143" s="73"/>
      <c r="H143" s="50"/>
      <c r="I143" s="50"/>
      <c r="J143" s="50"/>
      <c r="K143" s="50"/>
      <c r="L143" s="50"/>
    </row>
    <row r="144" spans="1:12" x14ac:dyDescent="0.25">
      <c r="A144" s="50"/>
      <c r="B144" s="50"/>
      <c r="H144" s="50"/>
      <c r="I144" s="50"/>
      <c r="J144" s="50"/>
      <c r="K144" s="50"/>
      <c r="L144" s="50"/>
    </row>
    <row r="145" spans="1:12" x14ac:dyDescent="0.25">
      <c r="A145" s="50"/>
      <c r="B145" s="50"/>
      <c r="H145" s="50"/>
      <c r="I145" s="50"/>
      <c r="J145" s="50"/>
      <c r="K145" s="50"/>
      <c r="L145" s="50"/>
    </row>
    <row r="146" spans="1:12" x14ac:dyDescent="0.25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</row>
    <row r="147" spans="1:12" x14ac:dyDescent="0.25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</row>
    <row r="148" spans="1:12" x14ac:dyDescent="0.25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</row>
    <row r="149" spans="1:12" x14ac:dyDescent="0.25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</row>
    <row r="150" spans="1:12" x14ac:dyDescent="0.25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</row>
    <row r="151" spans="1:12" x14ac:dyDescent="0.25">
      <c r="E151" s="50"/>
      <c r="F151" s="50"/>
      <c r="H151" s="50"/>
    </row>
    <row r="152" spans="1:12" x14ac:dyDescent="0.25">
      <c r="E152" s="50"/>
      <c r="F152" s="50"/>
      <c r="H152" s="50"/>
    </row>
    <row r="153" spans="1:12" x14ac:dyDescent="0.25">
      <c r="E153" s="50"/>
      <c r="F153" s="50"/>
      <c r="G153" s="50"/>
      <c r="H153" s="50"/>
    </row>
    <row r="154" spans="1:12" x14ac:dyDescent="0.25">
      <c r="E154" s="50"/>
      <c r="F154" s="50"/>
      <c r="H154" s="50"/>
    </row>
    <row r="155" spans="1:12" x14ac:dyDescent="0.25">
      <c r="E155" s="50"/>
      <c r="F155" s="50"/>
      <c r="H155" s="50"/>
    </row>
    <row r="156" spans="1:12" x14ac:dyDescent="0.25">
      <c r="E156" s="50"/>
      <c r="F156" s="50"/>
      <c r="G156" s="50"/>
      <c r="H156" s="50"/>
    </row>
    <row r="157" spans="1:12" x14ac:dyDescent="0.25">
      <c r="E157" s="50"/>
      <c r="F157" s="50"/>
      <c r="H157" s="50"/>
    </row>
    <row r="158" spans="1:12" x14ac:dyDescent="0.25">
      <c r="E158" s="50"/>
      <c r="F158" s="50"/>
      <c r="H158" s="50"/>
    </row>
    <row r="159" spans="1:12" x14ac:dyDescent="0.25">
      <c r="E159" s="50"/>
      <c r="F159" s="50"/>
      <c r="G159" s="50"/>
      <c r="H159" s="50"/>
    </row>
    <row r="160" spans="1:12" x14ac:dyDescent="0.25">
      <c r="E160" s="50"/>
      <c r="F160" s="50"/>
      <c r="H160" s="50"/>
    </row>
    <row r="161" spans="5:8" x14ac:dyDescent="0.25">
      <c r="E161" s="50"/>
      <c r="F161" s="50"/>
      <c r="H161" s="50"/>
    </row>
    <row r="162" spans="5:8" x14ac:dyDescent="0.25">
      <c r="E162" s="50"/>
      <c r="F162" s="50"/>
      <c r="G162" s="50"/>
      <c r="H162" s="50"/>
    </row>
    <row r="163" spans="5:8" x14ac:dyDescent="0.25">
      <c r="E163" s="50"/>
      <c r="F163" s="50"/>
      <c r="H163" s="50"/>
    </row>
    <row r="164" spans="5:8" x14ac:dyDescent="0.25">
      <c r="E164" s="50"/>
      <c r="F164" s="50"/>
      <c r="H164" s="50"/>
    </row>
    <row r="165" spans="5:8" x14ac:dyDescent="0.25">
      <c r="E165" s="50"/>
      <c r="F165" s="50"/>
      <c r="G165" s="50"/>
      <c r="H165" s="50"/>
    </row>
    <row r="166" spans="5:8" x14ac:dyDescent="0.25">
      <c r="E166" s="50"/>
      <c r="F166" s="50"/>
      <c r="H166" s="50"/>
    </row>
    <row r="167" spans="5:8" x14ac:dyDescent="0.25">
      <c r="E167" s="50"/>
      <c r="F167" s="50"/>
      <c r="H167" s="50"/>
    </row>
    <row r="168" spans="5:8" x14ac:dyDescent="0.25">
      <c r="E168" s="50"/>
      <c r="F168" s="50"/>
      <c r="G168" s="50"/>
      <c r="H168" s="50"/>
    </row>
    <row r="169" spans="5:8" x14ac:dyDescent="0.25">
      <c r="E169" s="50"/>
      <c r="F169" s="50"/>
      <c r="H169" s="50"/>
    </row>
    <row r="170" spans="5:8" x14ac:dyDescent="0.25">
      <c r="E170" s="50"/>
      <c r="F170" s="50"/>
      <c r="H170" s="50"/>
    </row>
    <row r="171" spans="5:8" x14ac:dyDescent="0.25">
      <c r="E171" s="50"/>
      <c r="F171" s="50"/>
      <c r="G171" s="50"/>
      <c r="H171" s="50"/>
    </row>
    <row r="172" spans="5:8" x14ac:dyDescent="0.25">
      <c r="E172" s="50"/>
      <c r="F172" s="50"/>
      <c r="H172" s="50"/>
    </row>
    <row r="173" spans="5:8" x14ac:dyDescent="0.25">
      <c r="E173" s="50"/>
      <c r="F173" s="50"/>
      <c r="H173" s="50"/>
    </row>
    <row r="174" spans="5:8" x14ac:dyDescent="0.25">
      <c r="E174" s="50"/>
      <c r="F174" s="50"/>
      <c r="G174" s="50"/>
      <c r="H174" s="50"/>
    </row>
    <row r="175" spans="5:8" x14ac:dyDescent="0.25">
      <c r="E175" s="50"/>
      <c r="F175" s="50"/>
      <c r="H175" s="50"/>
    </row>
    <row r="176" spans="5:8" x14ac:dyDescent="0.25">
      <c r="E176" s="50"/>
      <c r="F176" s="50"/>
      <c r="H176" s="50"/>
    </row>
    <row r="177" spans="5:8" x14ac:dyDescent="0.25">
      <c r="E177" s="50"/>
      <c r="F177" s="50"/>
      <c r="G177" s="50"/>
      <c r="H177" s="50"/>
    </row>
    <row r="178" spans="5:8" x14ac:dyDescent="0.25">
      <c r="E178" s="50"/>
      <c r="F178" s="50"/>
      <c r="H178" s="50"/>
    </row>
    <row r="179" spans="5:8" x14ac:dyDescent="0.25">
      <c r="E179" s="50"/>
      <c r="F179" s="50"/>
      <c r="H179" s="50"/>
    </row>
    <row r="180" spans="5:8" x14ac:dyDescent="0.25">
      <c r="E180" s="50"/>
      <c r="F180" s="50"/>
      <c r="G180" s="50"/>
      <c r="H180" s="50"/>
    </row>
    <row r="181" spans="5:8" x14ac:dyDescent="0.25">
      <c r="E181" s="50"/>
      <c r="F181" s="50"/>
      <c r="H181" s="50"/>
    </row>
    <row r="182" spans="5:8" x14ac:dyDescent="0.25">
      <c r="E182" s="50"/>
      <c r="F182" s="50"/>
      <c r="H182" s="50"/>
    </row>
    <row r="183" spans="5:8" x14ac:dyDescent="0.25">
      <c r="E183" s="50"/>
      <c r="F183" s="50"/>
      <c r="G183" s="50"/>
      <c r="H183" s="50"/>
    </row>
    <row r="184" spans="5:8" x14ac:dyDescent="0.25">
      <c r="E184" s="50"/>
      <c r="F184" s="50"/>
      <c r="H184" s="50"/>
    </row>
    <row r="185" spans="5:8" x14ac:dyDescent="0.25">
      <c r="E185" s="50"/>
      <c r="F185" s="50"/>
    </row>
    <row r="186" spans="5:8" x14ac:dyDescent="0.25">
      <c r="E186" s="50"/>
      <c r="F186" s="50"/>
    </row>
    <row r="187" spans="5:8" x14ac:dyDescent="0.25">
      <c r="E187" s="50"/>
      <c r="F187" s="50"/>
    </row>
    <row r="188" spans="5:8" x14ac:dyDescent="0.25">
      <c r="E188" s="50"/>
      <c r="F188" s="50"/>
    </row>
    <row r="189" spans="5:8" x14ac:dyDescent="0.25">
      <c r="E189" s="50"/>
      <c r="F189" s="50"/>
    </row>
    <row r="190" spans="5:8" x14ac:dyDescent="0.25">
      <c r="E190" s="50"/>
      <c r="F190" s="50"/>
    </row>
    <row r="191" spans="5:8" x14ac:dyDescent="0.25">
      <c r="E191" s="50"/>
      <c r="F191" s="50"/>
    </row>
    <row r="192" spans="5:8" x14ac:dyDescent="0.25">
      <c r="E192" s="50"/>
      <c r="F192" s="50"/>
    </row>
    <row r="193" spans="5:6" x14ac:dyDescent="0.25">
      <c r="E193" s="50"/>
      <c r="F193" s="50"/>
    </row>
    <row r="194" spans="5:6" x14ac:dyDescent="0.25">
      <c r="E194" s="50"/>
      <c r="F194" s="50"/>
    </row>
    <row r="195" spans="5:6" x14ac:dyDescent="0.25">
      <c r="E195" s="50"/>
      <c r="F195" s="50"/>
    </row>
    <row r="196" spans="5:6" x14ac:dyDescent="0.25">
      <c r="E196" s="50"/>
      <c r="F196" s="50"/>
    </row>
    <row r="197" spans="5:6" x14ac:dyDescent="0.25">
      <c r="E197" s="50"/>
      <c r="F197" s="50"/>
    </row>
    <row r="198" spans="5:6" x14ac:dyDescent="0.25">
      <c r="E198" s="50"/>
      <c r="F198" s="50"/>
    </row>
    <row r="199" spans="5:6" x14ac:dyDescent="0.25">
      <c r="E199" s="50"/>
      <c r="F199" s="50"/>
    </row>
    <row r="200" spans="5:6" x14ac:dyDescent="0.25">
      <c r="E200" s="50"/>
      <c r="F200" s="50"/>
    </row>
    <row r="201" spans="5:6" x14ac:dyDescent="0.25">
      <c r="E201" s="50"/>
      <c r="F201" s="50"/>
    </row>
    <row r="202" spans="5:6" x14ac:dyDescent="0.25">
      <c r="E202" s="50"/>
      <c r="F202" s="50"/>
    </row>
    <row r="203" spans="5:6" x14ac:dyDescent="0.25">
      <c r="E203" s="50"/>
      <c r="F203" s="50"/>
    </row>
    <row r="204" spans="5:6" x14ac:dyDescent="0.25">
      <c r="E204" s="50"/>
      <c r="F204" s="50"/>
    </row>
    <row r="205" spans="5:6" x14ac:dyDescent="0.25">
      <c r="E205" s="50"/>
      <c r="F205" s="50"/>
    </row>
    <row r="206" spans="5:6" x14ac:dyDescent="0.25">
      <c r="E206" s="50"/>
      <c r="F206" s="50"/>
    </row>
    <row r="207" spans="5:6" x14ac:dyDescent="0.25">
      <c r="E207" s="50"/>
      <c r="F207" s="50"/>
    </row>
    <row r="208" spans="5:6" x14ac:dyDescent="0.25">
      <c r="E208" s="50"/>
      <c r="F208" s="50"/>
    </row>
    <row r="209" spans="5:6" x14ac:dyDescent="0.25">
      <c r="E209" s="50"/>
      <c r="F209" s="50"/>
    </row>
    <row r="210" spans="5:6" x14ac:dyDescent="0.25">
      <c r="E210" s="50"/>
      <c r="F210" s="50"/>
    </row>
    <row r="211" spans="5:6" x14ac:dyDescent="0.25">
      <c r="E211" s="50"/>
      <c r="F211" s="50"/>
    </row>
    <row r="212" spans="5:6" x14ac:dyDescent="0.25">
      <c r="E212" s="50"/>
      <c r="F212" s="50"/>
    </row>
    <row r="213" spans="5:6" x14ac:dyDescent="0.25">
      <c r="E213" s="50"/>
      <c r="F213" s="50"/>
    </row>
    <row r="214" spans="5:6" x14ac:dyDescent="0.25">
      <c r="E214" s="50"/>
      <c r="F214" s="50"/>
    </row>
    <row r="215" spans="5:6" x14ac:dyDescent="0.25">
      <c r="E215" s="50"/>
      <c r="F215" s="50"/>
    </row>
    <row r="216" spans="5:6" x14ac:dyDescent="0.25">
      <c r="E216" s="50"/>
      <c r="F216" s="50"/>
    </row>
    <row r="217" spans="5:6" x14ac:dyDescent="0.25">
      <c r="E217" s="50"/>
      <c r="F217" s="50"/>
    </row>
    <row r="218" spans="5:6" x14ac:dyDescent="0.25">
      <c r="E218" s="50"/>
      <c r="F218" s="50"/>
    </row>
    <row r="219" spans="5:6" x14ac:dyDescent="0.25">
      <c r="E219" s="50"/>
      <c r="F219" s="50"/>
    </row>
    <row r="220" spans="5:6" x14ac:dyDescent="0.25">
      <c r="E220" s="50"/>
      <c r="F220" s="50"/>
    </row>
    <row r="221" spans="5:6" x14ac:dyDescent="0.25">
      <c r="E221" s="50"/>
      <c r="F221" s="50"/>
    </row>
    <row r="222" spans="5:6" x14ac:dyDescent="0.25">
      <c r="E222" s="50"/>
      <c r="F222" s="50"/>
    </row>
    <row r="223" spans="5:6" x14ac:dyDescent="0.25">
      <c r="E223" s="50"/>
      <c r="F223" s="50"/>
    </row>
    <row r="224" spans="5:6" x14ac:dyDescent="0.25">
      <c r="E224" s="50"/>
      <c r="F224" s="50"/>
    </row>
    <row r="225" spans="5:6" x14ac:dyDescent="0.25">
      <c r="E225" s="50"/>
      <c r="F225" s="50"/>
    </row>
    <row r="226" spans="5:6" x14ac:dyDescent="0.25">
      <c r="E226" s="50"/>
      <c r="F226" s="50"/>
    </row>
    <row r="227" spans="5:6" x14ac:dyDescent="0.25">
      <c r="E227" s="50"/>
      <c r="F227" s="50"/>
    </row>
    <row r="228" spans="5:6" x14ac:dyDescent="0.25">
      <c r="E228" s="50"/>
      <c r="F228" s="50"/>
    </row>
    <row r="229" spans="5:6" x14ac:dyDescent="0.25">
      <c r="E229" s="50"/>
      <c r="F229" s="50"/>
    </row>
    <row r="230" spans="5:6" x14ac:dyDescent="0.25">
      <c r="E230" s="50"/>
      <c r="F230" s="50"/>
    </row>
    <row r="231" spans="5:6" x14ac:dyDescent="0.25">
      <c r="E231" s="50"/>
      <c r="F231" s="50"/>
    </row>
    <row r="232" spans="5:6" x14ac:dyDescent="0.25">
      <c r="E232" s="50"/>
      <c r="F232" s="50"/>
    </row>
    <row r="233" spans="5:6" x14ac:dyDescent="0.25">
      <c r="E233" s="50"/>
      <c r="F233" s="50"/>
    </row>
    <row r="234" spans="5:6" x14ac:dyDescent="0.25">
      <c r="E234" s="50"/>
      <c r="F234" s="50"/>
    </row>
    <row r="235" spans="5:6" x14ac:dyDescent="0.25">
      <c r="E235" s="50"/>
      <c r="F235" s="50"/>
    </row>
    <row r="236" spans="5:6" x14ac:dyDescent="0.25">
      <c r="E236" s="50"/>
      <c r="F236" s="50"/>
    </row>
    <row r="237" spans="5:6" x14ac:dyDescent="0.25">
      <c r="E237" s="50"/>
      <c r="F237" s="50"/>
    </row>
    <row r="238" spans="5:6" x14ac:dyDescent="0.25">
      <c r="E238" s="50"/>
      <c r="F238" s="50"/>
    </row>
    <row r="239" spans="5:6" x14ac:dyDescent="0.25">
      <c r="E239" s="50"/>
      <c r="F239" s="50"/>
    </row>
    <row r="240" spans="5:6" x14ac:dyDescent="0.25">
      <c r="E240" s="50"/>
      <c r="F240" s="50"/>
    </row>
    <row r="241" spans="5:6" x14ac:dyDescent="0.25">
      <c r="E241" s="50"/>
      <c r="F241" s="50"/>
    </row>
    <row r="242" spans="5:6" x14ac:dyDescent="0.25">
      <c r="E242" s="50"/>
      <c r="F242" s="50"/>
    </row>
    <row r="243" spans="5:6" x14ac:dyDescent="0.25">
      <c r="E243" s="50"/>
      <c r="F243" s="50"/>
    </row>
    <row r="244" spans="5:6" x14ac:dyDescent="0.25">
      <c r="E244" s="50"/>
      <c r="F244" s="50"/>
    </row>
    <row r="245" spans="5:6" x14ac:dyDescent="0.25">
      <c r="E245" s="50"/>
      <c r="F245" s="50"/>
    </row>
    <row r="246" spans="5:6" x14ac:dyDescent="0.25">
      <c r="E246" s="50"/>
      <c r="F246" s="50"/>
    </row>
    <row r="247" spans="5:6" x14ac:dyDescent="0.25">
      <c r="E247" s="50"/>
      <c r="F247" s="50"/>
    </row>
    <row r="248" spans="5:6" x14ac:dyDescent="0.25">
      <c r="E248" s="50"/>
      <c r="F248" s="50"/>
    </row>
    <row r="249" spans="5:6" x14ac:dyDescent="0.25">
      <c r="E249" s="50"/>
      <c r="F249" s="50"/>
    </row>
    <row r="250" spans="5:6" x14ac:dyDescent="0.25">
      <c r="E250" s="50"/>
      <c r="F250" s="50"/>
    </row>
    <row r="251" spans="5:6" x14ac:dyDescent="0.25">
      <c r="E251" s="50"/>
      <c r="F251" s="50"/>
    </row>
    <row r="252" spans="5:6" x14ac:dyDescent="0.25">
      <c r="E252" s="50"/>
      <c r="F252" s="50"/>
    </row>
    <row r="253" spans="5:6" x14ac:dyDescent="0.25">
      <c r="E253" s="50"/>
      <c r="F253" s="50"/>
    </row>
    <row r="254" spans="5:6" x14ac:dyDescent="0.25">
      <c r="E254" s="50"/>
      <c r="F254" s="50"/>
    </row>
    <row r="255" spans="5:6" x14ac:dyDescent="0.25">
      <c r="E255" s="50"/>
      <c r="F255" s="50"/>
    </row>
    <row r="256" spans="5:6" x14ac:dyDescent="0.25">
      <c r="E256" s="50"/>
      <c r="F256" s="50"/>
    </row>
    <row r="257" spans="5:6" x14ac:dyDescent="0.25">
      <c r="E257" s="50"/>
      <c r="F257" s="50"/>
    </row>
    <row r="258" spans="5:6" x14ac:dyDescent="0.25">
      <c r="E258" s="50"/>
      <c r="F258" s="50"/>
    </row>
    <row r="259" spans="5:6" x14ac:dyDescent="0.25">
      <c r="E259" s="50"/>
      <c r="F259" s="50"/>
    </row>
    <row r="260" spans="5:6" x14ac:dyDescent="0.25">
      <c r="E260" s="50"/>
      <c r="F260" s="50"/>
    </row>
    <row r="261" spans="5:6" x14ac:dyDescent="0.25">
      <c r="E261" s="50"/>
      <c r="F261" s="50"/>
    </row>
    <row r="262" spans="5:6" x14ac:dyDescent="0.25">
      <c r="E262" s="50"/>
      <c r="F262" s="50"/>
    </row>
    <row r="263" spans="5:6" x14ac:dyDescent="0.25">
      <c r="E263" s="50"/>
      <c r="F263" s="50"/>
    </row>
    <row r="264" spans="5:6" x14ac:dyDescent="0.25">
      <c r="E264" s="50"/>
      <c r="F264" s="50"/>
    </row>
    <row r="265" spans="5:6" x14ac:dyDescent="0.25">
      <c r="E265" s="50"/>
      <c r="F265" s="50"/>
    </row>
    <row r="266" spans="5:6" x14ac:dyDescent="0.25">
      <c r="E266" s="50"/>
      <c r="F266" s="50"/>
    </row>
    <row r="267" spans="5:6" x14ac:dyDescent="0.25">
      <c r="E267" s="50"/>
      <c r="F267" s="50"/>
    </row>
    <row r="268" spans="5:6" x14ac:dyDescent="0.25">
      <c r="E268" s="50"/>
      <c r="F268" s="50"/>
    </row>
    <row r="269" spans="5:6" x14ac:dyDescent="0.25">
      <c r="E269" s="50"/>
      <c r="F269" s="50"/>
    </row>
    <row r="270" spans="5:6" x14ac:dyDescent="0.25">
      <c r="E270" s="50"/>
      <c r="F270" s="50"/>
    </row>
    <row r="271" spans="5:6" x14ac:dyDescent="0.25">
      <c r="E271" s="50"/>
      <c r="F271" s="50"/>
    </row>
    <row r="272" spans="5:6" x14ac:dyDescent="0.25">
      <c r="E272" s="50"/>
      <c r="F272" s="50"/>
    </row>
    <row r="273" spans="5:6" x14ac:dyDescent="0.25">
      <c r="E273" s="50"/>
      <c r="F273" s="50"/>
    </row>
    <row r="274" spans="5:6" x14ac:dyDescent="0.25">
      <c r="E274" s="50"/>
      <c r="F274" s="50"/>
    </row>
    <row r="275" spans="5:6" x14ac:dyDescent="0.25">
      <c r="E275" s="50"/>
      <c r="F275" s="50"/>
    </row>
    <row r="276" spans="5:6" x14ac:dyDescent="0.25">
      <c r="E276" s="50"/>
      <c r="F276" s="50"/>
    </row>
    <row r="277" spans="5:6" x14ac:dyDescent="0.25">
      <c r="E277" s="50"/>
      <c r="F277" s="50"/>
    </row>
    <row r="278" spans="5:6" x14ac:dyDescent="0.25">
      <c r="E278" s="50"/>
      <c r="F278" s="50"/>
    </row>
    <row r="279" spans="5:6" x14ac:dyDescent="0.25">
      <c r="E279" s="50"/>
      <c r="F279" s="50"/>
    </row>
    <row r="280" spans="5:6" x14ac:dyDescent="0.25">
      <c r="E280" s="50"/>
      <c r="F280" s="50"/>
    </row>
    <row r="281" spans="5:6" x14ac:dyDescent="0.25">
      <c r="E281" s="50"/>
      <c r="F281" s="50"/>
    </row>
    <row r="282" spans="5:6" x14ac:dyDescent="0.25">
      <c r="E282" s="50"/>
      <c r="F282" s="50"/>
    </row>
    <row r="283" spans="5:6" x14ac:dyDescent="0.25">
      <c r="E283" s="50"/>
      <c r="F283" s="50"/>
    </row>
    <row r="284" spans="5:6" x14ac:dyDescent="0.25">
      <c r="E284" s="50"/>
      <c r="F284" s="50"/>
    </row>
    <row r="285" spans="5:6" x14ac:dyDescent="0.25">
      <c r="E285" s="50"/>
      <c r="F285" s="50"/>
    </row>
    <row r="286" spans="5:6" x14ac:dyDescent="0.25">
      <c r="E286" s="50"/>
      <c r="F286" s="50"/>
    </row>
    <row r="287" spans="5:6" x14ac:dyDescent="0.25">
      <c r="E287" s="50"/>
      <c r="F287" s="50"/>
    </row>
    <row r="288" spans="5:6" x14ac:dyDescent="0.25">
      <c r="E288" s="50"/>
      <c r="F288" s="50"/>
    </row>
    <row r="289" spans="5:6" x14ac:dyDescent="0.25">
      <c r="E289" s="50"/>
      <c r="F289" s="50"/>
    </row>
    <row r="290" spans="5:6" x14ac:dyDescent="0.25">
      <c r="E290" s="50"/>
      <c r="F290" s="50"/>
    </row>
    <row r="291" spans="5:6" x14ac:dyDescent="0.25">
      <c r="E291" s="50"/>
      <c r="F291" s="50"/>
    </row>
    <row r="292" spans="5:6" x14ac:dyDescent="0.25">
      <c r="E292" s="50"/>
      <c r="F292" s="50"/>
    </row>
    <row r="293" spans="5:6" x14ac:dyDescent="0.25">
      <c r="E293" s="50"/>
      <c r="F293" s="50"/>
    </row>
    <row r="294" spans="5:6" x14ac:dyDescent="0.25">
      <c r="E294" s="50"/>
      <c r="F294" s="50"/>
    </row>
    <row r="295" spans="5:6" x14ac:dyDescent="0.25">
      <c r="E295" s="50"/>
      <c r="F295" s="50"/>
    </row>
    <row r="296" spans="5:6" x14ac:dyDescent="0.25">
      <c r="E296" s="50"/>
      <c r="F296" s="50"/>
    </row>
    <row r="297" spans="5:6" x14ac:dyDescent="0.25">
      <c r="E297" s="50"/>
      <c r="F297" s="50"/>
    </row>
    <row r="298" spans="5:6" x14ac:dyDescent="0.25">
      <c r="E298" s="50"/>
      <c r="F298" s="50"/>
    </row>
    <row r="299" spans="5:6" x14ac:dyDescent="0.25">
      <c r="E299" s="50"/>
      <c r="F299" s="50"/>
    </row>
    <row r="300" spans="5:6" x14ac:dyDescent="0.25">
      <c r="E300" s="50"/>
      <c r="F300" s="50"/>
    </row>
    <row r="301" spans="5:6" x14ac:dyDescent="0.25">
      <c r="E301" s="50"/>
      <c r="F301" s="50"/>
    </row>
    <row r="302" spans="5:6" x14ac:dyDescent="0.25">
      <c r="E302" s="50"/>
      <c r="F302" s="50"/>
    </row>
    <row r="303" spans="5:6" x14ac:dyDescent="0.25">
      <c r="E303" s="50"/>
      <c r="F303" s="50"/>
    </row>
    <row r="304" spans="5:6" x14ac:dyDescent="0.25">
      <c r="E304" s="50"/>
      <c r="F304" s="50"/>
    </row>
    <row r="305" spans="5:6" x14ac:dyDescent="0.25">
      <c r="E305" s="50"/>
      <c r="F305" s="50"/>
    </row>
    <row r="306" spans="5:6" x14ac:dyDescent="0.25">
      <c r="E306" s="50"/>
      <c r="F306" s="50"/>
    </row>
    <row r="307" spans="5:6" x14ac:dyDescent="0.25">
      <c r="E307" s="50"/>
      <c r="F307" s="50"/>
    </row>
    <row r="308" spans="5:6" x14ac:dyDescent="0.25">
      <c r="E308" s="50"/>
      <c r="F308" s="50"/>
    </row>
    <row r="309" spans="5:6" x14ac:dyDescent="0.25">
      <c r="E309" s="50"/>
      <c r="F309" s="50"/>
    </row>
    <row r="310" spans="5:6" x14ac:dyDescent="0.25">
      <c r="E310" s="50"/>
      <c r="F310" s="50"/>
    </row>
    <row r="311" spans="5:6" x14ac:dyDescent="0.25">
      <c r="E311" s="50"/>
      <c r="F311" s="50"/>
    </row>
    <row r="312" spans="5:6" x14ac:dyDescent="0.25">
      <c r="E312" s="50"/>
      <c r="F312" s="50"/>
    </row>
    <row r="313" spans="5:6" x14ac:dyDescent="0.25">
      <c r="E313" s="50"/>
      <c r="F313" s="50"/>
    </row>
    <row r="314" spans="5:6" x14ac:dyDescent="0.25">
      <c r="E314" s="50"/>
      <c r="F314" s="50"/>
    </row>
    <row r="315" spans="5:6" x14ac:dyDescent="0.25">
      <c r="E315" s="50"/>
      <c r="F315" s="50"/>
    </row>
    <row r="316" spans="5:6" x14ac:dyDescent="0.25">
      <c r="E316" s="50"/>
      <c r="F316" s="50"/>
    </row>
    <row r="317" spans="5:6" x14ac:dyDescent="0.25">
      <c r="E317" s="50"/>
      <c r="F317" s="50"/>
    </row>
    <row r="318" spans="5:6" x14ac:dyDescent="0.25">
      <c r="E318" s="50"/>
      <c r="F318" s="50"/>
    </row>
    <row r="319" spans="5:6" x14ac:dyDescent="0.25">
      <c r="E319" s="50"/>
      <c r="F319" s="50"/>
    </row>
    <row r="320" spans="5:6" x14ac:dyDescent="0.25">
      <c r="E320" s="50"/>
      <c r="F320" s="50"/>
    </row>
    <row r="321" spans="5:6" x14ac:dyDescent="0.25">
      <c r="E321" s="50"/>
      <c r="F321" s="50"/>
    </row>
    <row r="322" spans="5:6" x14ac:dyDescent="0.25">
      <c r="E322" s="50"/>
      <c r="F322" s="50"/>
    </row>
    <row r="323" spans="5:6" x14ac:dyDescent="0.25">
      <c r="E323" s="50"/>
      <c r="F323" s="50"/>
    </row>
    <row r="324" spans="5:6" x14ac:dyDescent="0.25">
      <c r="E324" s="50"/>
      <c r="F324" s="50"/>
    </row>
    <row r="325" spans="5:6" x14ac:dyDescent="0.25">
      <c r="E325" s="50"/>
      <c r="F325" s="50"/>
    </row>
    <row r="326" spans="5:6" x14ac:dyDescent="0.25">
      <c r="E326" s="50"/>
      <c r="F326" s="50"/>
    </row>
    <row r="327" spans="5:6" x14ac:dyDescent="0.25">
      <c r="E327" s="50"/>
      <c r="F327" s="50"/>
    </row>
    <row r="328" spans="5:6" x14ac:dyDescent="0.25">
      <c r="E328" s="50"/>
      <c r="F328" s="50"/>
    </row>
    <row r="329" spans="5:6" x14ac:dyDescent="0.25">
      <c r="E329" s="50"/>
      <c r="F329" s="50"/>
    </row>
    <row r="330" spans="5:6" x14ac:dyDescent="0.25">
      <c r="E330" s="50"/>
      <c r="F330" s="50"/>
    </row>
    <row r="331" spans="5:6" x14ac:dyDescent="0.25">
      <c r="E331" s="50"/>
      <c r="F331" s="50"/>
    </row>
    <row r="332" spans="5:6" x14ac:dyDescent="0.25">
      <c r="E332" s="50"/>
      <c r="F332" s="50"/>
    </row>
    <row r="333" spans="5:6" x14ac:dyDescent="0.25">
      <c r="E333" s="50"/>
      <c r="F333" s="50"/>
    </row>
    <row r="334" spans="5:6" x14ac:dyDescent="0.25">
      <c r="E334" s="50"/>
      <c r="F334" s="50"/>
    </row>
    <row r="335" spans="5:6" x14ac:dyDescent="0.25">
      <c r="E335" s="50"/>
      <c r="F335" s="50"/>
    </row>
    <row r="336" spans="5:6" x14ac:dyDescent="0.25">
      <c r="E336" s="50"/>
      <c r="F336" s="50"/>
    </row>
    <row r="337" spans="5:6" x14ac:dyDescent="0.25">
      <c r="E337" s="50"/>
      <c r="F337" s="50"/>
    </row>
    <row r="338" spans="5:6" x14ac:dyDescent="0.25">
      <c r="E338" s="50"/>
      <c r="F338" s="50"/>
    </row>
    <row r="339" spans="5:6" x14ac:dyDescent="0.25">
      <c r="E339" s="50"/>
      <c r="F339" s="50"/>
    </row>
    <row r="340" spans="5:6" x14ac:dyDescent="0.25">
      <c r="E340" s="50"/>
      <c r="F340" s="50"/>
    </row>
    <row r="341" spans="5:6" x14ac:dyDescent="0.25">
      <c r="E341" s="50"/>
      <c r="F341" s="50"/>
    </row>
    <row r="342" spans="5:6" x14ac:dyDescent="0.25">
      <c r="E342" s="50"/>
      <c r="F342" s="50"/>
    </row>
    <row r="343" spans="5:6" x14ac:dyDescent="0.25">
      <c r="E343" s="50"/>
      <c r="F343" s="50"/>
    </row>
    <row r="344" spans="5:6" x14ac:dyDescent="0.25">
      <c r="E344" s="50"/>
      <c r="F344" s="50"/>
    </row>
    <row r="345" spans="5:6" x14ac:dyDescent="0.25">
      <c r="E345" s="50"/>
      <c r="F345" s="50"/>
    </row>
    <row r="346" spans="5:6" x14ac:dyDescent="0.25">
      <c r="E346" s="50"/>
      <c r="F346" s="50"/>
    </row>
    <row r="347" spans="5:6" x14ac:dyDescent="0.25">
      <c r="E347" s="50"/>
      <c r="F347" s="50"/>
    </row>
    <row r="348" spans="5:6" x14ac:dyDescent="0.25">
      <c r="E348" s="50"/>
      <c r="F348" s="50"/>
    </row>
    <row r="349" spans="5:6" x14ac:dyDescent="0.25">
      <c r="E349" s="50"/>
      <c r="F349" s="50"/>
    </row>
    <row r="350" spans="5:6" x14ac:dyDescent="0.25">
      <c r="E350" s="50"/>
      <c r="F350" s="50"/>
    </row>
    <row r="351" spans="5:6" x14ac:dyDescent="0.25">
      <c r="E351" s="50"/>
      <c r="F351" s="50"/>
    </row>
    <row r="352" spans="5:6" x14ac:dyDescent="0.25">
      <c r="E352" s="50"/>
      <c r="F352" s="50"/>
    </row>
    <row r="353" spans="5:6" x14ac:dyDescent="0.25">
      <c r="E353" s="50"/>
      <c r="F353" s="50"/>
    </row>
    <row r="354" spans="5:6" x14ac:dyDescent="0.25">
      <c r="E354" s="50"/>
      <c r="F354" s="50"/>
    </row>
    <row r="355" spans="5:6" x14ac:dyDescent="0.25">
      <c r="E355" s="50"/>
      <c r="F355" s="50"/>
    </row>
    <row r="356" spans="5:6" x14ac:dyDescent="0.25">
      <c r="E356" s="50"/>
      <c r="F356" s="50"/>
    </row>
    <row r="357" spans="5:6" x14ac:dyDescent="0.25">
      <c r="E357" s="50"/>
      <c r="F357" s="50"/>
    </row>
    <row r="358" spans="5:6" x14ac:dyDescent="0.25">
      <c r="E358" s="50"/>
      <c r="F358" s="50"/>
    </row>
    <row r="359" spans="5:6" x14ac:dyDescent="0.25">
      <c r="E359" s="50"/>
      <c r="F359" s="50"/>
    </row>
    <row r="360" spans="5:6" x14ac:dyDescent="0.25">
      <c r="E360" s="50"/>
      <c r="F360" s="50"/>
    </row>
    <row r="361" spans="5:6" x14ac:dyDescent="0.25">
      <c r="E361" s="50"/>
      <c r="F361" s="50"/>
    </row>
    <row r="362" spans="5:6" x14ac:dyDescent="0.25">
      <c r="E362" s="50"/>
      <c r="F362" s="50"/>
    </row>
    <row r="363" spans="5:6" x14ac:dyDescent="0.25">
      <c r="E363" s="50"/>
      <c r="F363" s="50"/>
    </row>
    <row r="364" spans="5:6" x14ac:dyDescent="0.25">
      <c r="E364" s="50"/>
      <c r="F364" s="50"/>
    </row>
    <row r="365" spans="5:6" x14ac:dyDescent="0.25">
      <c r="E365" s="50"/>
      <c r="F365" s="50"/>
    </row>
    <row r="366" spans="5:6" x14ac:dyDescent="0.25">
      <c r="E366" s="50"/>
      <c r="F366" s="50"/>
    </row>
    <row r="367" spans="5:6" x14ac:dyDescent="0.25">
      <c r="E367" s="50"/>
      <c r="F367" s="50"/>
    </row>
    <row r="368" spans="5:6" x14ac:dyDescent="0.25">
      <c r="E368" s="50"/>
      <c r="F368" s="50"/>
    </row>
    <row r="369" spans="5:6" x14ac:dyDescent="0.25">
      <c r="E369" s="50"/>
      <c r="F369" s="50"/>
    </row>
    <row r="370" spans="5:6" x14ac:dyDescent="0.25">
      <c r="E370" s="50"/>
      <c r="F370" s="50"/>
    </row>
    <row r="371" spans="5:6" x14ac:dyDescent="0.25">
      <c r="E371" s="50"/>
      <c r="F371" s="50"/>
    </row>
    <row r="372" spans="5:6" x14ac:dyDescent="0.25">
      <c r="E372" s="50"/>
      <c r="F372" s="50"/>
    </row>
    <row r="373" spans="5:6" x14ac:dyDescent="0.25">
      <c r="E373" s="50"/>
      <c r="F373" s="50"/>
    </row>
    <row r="374" spans="5:6" x14ac:dyDescent="0.25">
      <c r="E374" s="50"/>
      <c r="F374" s="50"/>
    </row>
    <row r="375" spans="5:6" x14ac:dyDescent="0.25">
      <c r="E375" s="50"/>
      <c r="F375" s="50"/>
    </row>
    <row r="376" spans="5:6" x14ac:dyDescent="0.25">
      <c r="E376" s="50"/>
      <c r="F376" s="50"/>
    </row>
    <row r="377" spans="5:6" x14ac:dyDescent="0.25">
      <c r="E377" s="50"/>
      <c r="F377" s="50"/>
    </row>
    <row r="378" spans="5:6" x14ac:dyDescent="0.25">
      <c r="E378" s="50"/>
      <c r="F378" s="50"/>
    </row>
    <row r="379" spans="5:6" x14ac:dyDescent="0.25">
      <c r="E379" s="50"/>
      <c r="F379" s="50"/>
    </row>
    <row r="380" spans="5:6" x14ac:dyDescent="0.25">
      <c r="E380" s="50"/>
      <c r="F380" s="50"/>
    </row>
    <row r="381" spans="5:6" x14ac:dyDescent="0.25">
      <c r="E381" s="50"/>
      <c r="F381" s="50"/>
    </row>
    <row r="382" spans="5:6" x14ac:dyDescent="0.25">
      <c r="E382" s="50"/>
      <c r="F382" s="50"/>
    </row>
    <row r="383" spans="5:6" x14ac:dyDescent="0.25">
      <c r="E383" s="50"/>
      <c r="F383" s="50"/>
    </row>
    <row r="384" spans="5:6" x14ac:dyDescent="0.25">
      <c r="E384" s="50"/>
      <c r="F384" s="50"/>
    </row>
    <row r="385" spans="5:6" x14ac:dyDescent="0.25">
      <c r="E385" s="50"/>
      <c r="F385" s="50"/>
    </row>
    <row r="386" spans="5:6" x14ac:dyDescent="0.25">
      <c r="E386" s="50"/>
      <c r="F386" s="50"/>
    </row>
    <row r="387" spans="5:6" x14ac:dyDescent="0.25">
      <c r="E387" s="50"/>
      <c r="F387" s="50"/>
    </row>
    <row r="388" spans="5:6" x14ac:dyDescent="0.25">
      <c r="E388" s="50"/>
      <c r="F388" s="50"/>
    </row>
    <row r="389" spans="5:6" x14ac:dyDescent="0.25">
      <c r="E389" s="50"/>
      <c r="F389" s="50"/>
    </row>
    <row r="390" spans="5:6" x14ac:dyDescent="0.25">
      <c r="E390" s="50"/>
      <c r="F390" s="50"/>
    </row>
    <row r="391" spans="5:6" x14ac:dyDescent="0.25">
      <c r="E391" s="50"/>
      <c r="F391" s="50"/>
    </row>
    <row r="392" spans="5:6" x14ac:dyDescent="0.25">
      <c r="E392" s="50"/>
      <c r="F392" s="50"/>
    </row>
    <row r="393" spans="5:6" x14ac:dyDescent="0.25">
      <c r="E393" s="50"/>
      <c r="F393" s="50"/>
    </row>
    <row r="394" spans="5:6" x14ac:dyDescent="0.25">
      <c r="E394" s="50"/>
      <c r="F394" s="50"/>
    </row>
    <row r="395" spans="5:6" x14ac:dyDescent="0.25">
      <c r="E395" s="50"/>
      <c r="F395" s="50"/>
    </row>
    <row r="396" spans="5:6" x14ac:dyDescent="0.25">
      <c r="E396" s="50"/>
      <c r="F396" s="50"/>
    </row>
    <row r="397" spans="5:6" x14ac:dyDescent="0.25">
      <c r="E397" s="50"/>
      <c r="F397" s="50"/>
    </row>
    <row r="398" spans="5:6" x14ac:dyDescent="0.25">
      <c r="E398" s="50"/>
      <c r="F398" s="50"/>
    </row>
    <row r="399" spans="5:6" x14ac:dyDescent="0.25">
      <c r="E399" s="50"/>
      <c r="F399" s="50"/>
    </row>
    <row r="400" spans="5:6" x14ac:dyDescent="0.25">
      <c r="E400" s="50"/>
      <c r="F400" s="50"/>
    </row>
    <row r="401" spans="5:6" x14ac:dyDescent="0.25">
      <c r="E401" s="50"/>
      <c r="F401" s="50"/>
    </row>
    <row r="402" spans="5:6" x14ac:dyDescent="0.25">
      <c r="E402" s="50"/>
      <c r="F402" s="50"/>
    </row>
    <row r="403" spans="5:6" x14ac:dyDescent="0.25">
      <c r="E403" s="50"/>
      <c r="F403" s="50"/>
    </row>
    <row r="404" spans="5:6" x14ac:dyDescent="0.25">
      <c r="E404" s="50"/>
      <c r="F404" s="50"/>
    </row>
    <row r="405" spans="5:6" x14ac:dyDescent="0.25">
      <c r="E405" s="50"/>
      <c r="F405" s="50"/>
    </row>
    <row r="406" spans="5:6" x14ac:dyDescent="0.25">
      <c r="E406" s="50"/>
      <c r="F406" s="50"/>
    </row>
    <row r="407" spans="5:6" x14ac:dyDescent="0.25">
      <c r="E407" s="50"/>
      <c r="F407" s="50"/>
    </row>
    <row r="408" spans="5:6" x14ac:dyDescent="0.25">
      <c r="E408" s="50"/>
      <c r="F408" s="50"/>
    </row>
    <row r="409" spans="5:6" x14ac:dyDescent="0.25">
      <c r="E409" s="50"/>
      <c r="F409" s="50"/>
    </row>
    <row r="410" spans="5:6" x14ac:dyDescent="0.25">
      <c r="E410" s="50"/>
      <c r="F410" s="50"/>
    </row>
    <row r="411" spans="5:6" x14ac:dyDescent="0.25">
      <c r="E411" s="50"/>
      <c r="F411" s="50"/>
    </row>
    <row r="412" spans="5:6" x14ac:dyDescent="0.25">
      <c r="E412" s="50"/>
      <c r="F412" s="50"/>
    </row>
    <row r="413" spans="5:6" x14ac:dyDescent="0.25">
      <c r="E413" s="50"/>
      <c r="F413" s="50"/>
    </row>
    <row r="414" spans="5:6" x14ac:dyDescent="0.25">
      <c r="E414" s="50"/>
      <c r="F414" s="50"/>
    </row>
    <row r="415" spans="5:6" x14ac:dyDescent="0.25">
      <c r="E415" s="50"/>
      <c r="F415" s="50"/>
    </row>
    <row r="416" spans="5:6" x14ac:dyDescent="0.25">
      <c r="E416" s="50"/>
      <c r="F416" s="50"/>
    </row>
    <row r="417" spans="5:6" x14ac:dyDescent="0.25">
      <c r="E417" s="50"/>
      <c r="F417" s="50"/>
    </row>
    <row r="418" spans="5:6" x14ac:dyDescent="0.25">
      <c r="E418" s="50"/>
      <c r="F418" s="50"/>
    </row>
    <row r="419" spans="5:6" x14ac:dyDescent="0.25">
      <c r="E419" s="50"/>
      <c r="F419" s="50"/>
    </row>
    <row r="420" spans="5:6" x14ac:dyDescent="0.25">
      <c r="E420" s="50"/>
      <c r="F420" s="50"/>
    </row>
    <row r="421" spans="5:6" x14ac:dyDescent="0.25">
      <c r="E421" s="50"/>
      <c r="F421" s="50"/>
    </row>
    <row r="422" spans="5:6" x14ac:dyDescent="0.25">
      <c r="E422" s="50"/>
      <c r="F422" s="50"/>
    </row>
    <row r="423" spans="5:6" x14ac:dyDescent="0.25">
      <c r="E423" s="50"/>
      <c r="F423" s="50"/>
    </row>
    <row r="424" spans="5:6" x14ac:dyDescent="0.25">
      <c r="E424" s="50"/>
      <c r="F424" s="50"/>
    </row>
    <row r="425" spans="5:6" x14ac:dyDescent="0.25">
      <c r="E425" s="50"/>
      <c r="F425" s="50"/>
    </row>
    <row r="426" spans="5:6" x14ac:dyDescent="0.25">
      <c r="E426" s="50"/>
      <c r="F426" s="50"/>
    </row>
    <row r="427" spans="5:6" x14ac:dyDescent="0.25">
      <c r="E427" s="50"/>
      <c r="F427" s="50"/>
    </row>
    <row r="428" spans="5:6" x14ac:dyDescent="0.25">
      <c r="E428" s="50"/>
      <c r="F428" s="50"/>
    </row>
    <row r="429" spans="5:6" x14ac:dyDescent="0.25">
      <c r="E429" s="50"/>
      <c r="F429" s="50"/>
    </row>
    <row r="430" spans="5:6" x14ac:dyDescent="0.25">
      <c r="E430" s="50"/>
      <c r="F430" s="50"/>
    </row>
    <row r="431" spans="5:6" x14ac:dyDescent="0.25">
      <c r="E431" s="50"/>
      <c r="F431" s="50"/>
    </row>
    <row r="432" spans="5:6" x14ac:dyDescent="0.25">
      <c r="E432" s="50"/>
      <c r="F432" s="50"/>
    </row>
    <row r="433" spans="5:6" x14ac:dyDescent="0.25">
      <c r="E433" s="50"/>
      <c r="F433" s="50"/>
    </row>
    <row r="434" spans="5:6" x14ac:dyDescent="0.25">
      <c r="E434" s="50"/>
      <c r="F434" s="50"/>
    </row>
    <row r="435" spans="5:6" x14ac:dyDescent="0.25">
      <c r="E435" s="50"/>
      <c r="F435" s="50"/>
    </row>
    <row r="436" spans="5:6" x14ac:dyDescent="0.25">
      <c r="E436" s="50"/>
      <c r="F436" s="50"/>
    </row>
    <row r="437" spans="5:6" x14ac:dyDescent="0.25">
      <c r="E437" s="50"/>
      <c r="F437" s="50"/>
    </row>
    <row r="438" spans="5:6" x14ac:dyDescent="0.25">
      <c r="E438" s="50"/>
      <c r="F438" s="50"/>
    </row>
    <row r="439" spans="5:6" x14ac:dyDescent="0.25">
      <c r="E439" s="50"/>
      <c r="F439" s="50"/>
    </row>
    <row r="440" spans="5:6" x14ac:dyDescent="0.25">
      <c r="E440" s="50"/>
      <c r="F440" s="50"/>
    </row>
    <row r="441" spans="5:6" x14ac:dyDescent="0.25">
      <c r="E441" s="50"/>
      <c r="F441" s="50"/>
    </row>
    <row r="442" spans="5:6" x14ac:dyDescent="0.25">
      <c r="E442" s="50"/>
      <c r="F442" s="50"/>
    </row>
    <row r="443" spans="5:6" x14ac:dyDescent="0.25">
      <c r="E443" s="50"/>
      <c r="F443" s="50"/>
    </row>
    <row r="444" spans="5:6" x14ac:dyDescent="0.25">
      <c r="E444" s="50"/>
      <c r="F444" s="50"/>
    </row>
    <row r="445" spans="5:6" x14ac:dyDescent="0.25">
      <c r="E445" s="50"/>
      <c r="F445" s="50"/>
    </row>
    <row r="446" spans="5:6" x14ac:dyDescent="0.25">
      <c r="E446" s="50"/>
      <c r="F446" s="50"/>
    </row>
    <row r="447" spans="5:6" x14ac:dyDescent="0.25">
      <c r="E447" s="50"/>
      <c r="F447" s="50"/>
    </row>
    <row r="448" spans="5:6" x14ac:dyDescent="0.25">
      <c r="E448" s="50"/>
      <c r="F448" s="50"/>
    </row>
    <row r="449" spans="5:6" x14ac:dyDescent="0.25">
      <c r="E449" s="50"/>
      <c r="F449" s="50"/>
    </row>
    <row r="450" spans="5:6" x14ac:dyDescent="0.25">
      <c r="E450" s="50"/>
      <c r="F450" s="50"/>
    </row>
    <row r="451" spans="5:6" x14ac:dyDescent="0.25">
      <c r="E451" s="50"/>
      <c r="F451" s="50"/>
    </row>
    <row r="452" spans="5:6" x14ac:dyDescent="0.25">
      <c r="E452" s="50"/>
      <c r="F452" s="50"/>
    </row>
    <row r="453" spans="5:6" x14ac:dyDescent="0.25">
      <c r="E453" s="50"/>
      <c r="F453" s="50"/>
    </row>
    <row r="454" spans="5:6" x14ac:dyDescent="0.25">
      <c r="E454" s="50"/>
      <c r="F454" s="50"/>
    </row>
    <row r="455" spans="5:6" x14ac:dyDescent="0.25">
      <c r="E455" s="50"/>
      <c r="F455" s="50"/>
    </row>
    <row r="456" spans="5:6" x14ac:dyDescent="0.25">
      <c r="E456" s="50"/>
      <c r="F456" s="50"/>
    </row>
    <row r="457" spans="5:6" x14ac:dyDescent="0.25">
      <c r="E457" s="50"/>
      <c r="F457" s="50"/>
    </row>
    <row r="458" spans="5:6" x14ac:dyDescent="0.25">
      <c r="E458" s="50"/>
      <c r="F458" s="50"/>
    </row>
    <row r="459" spans="5:6" x14ac:dyDescent="0.25">
      <c r="E459" s="50"/>
      <c r="F459" s="50"/>
    </row>
    <row r="460" spans="5:6" x14ac:dyDescent="0.25">
      <c r="E460" s="50"/>
      <c r="F460" s="50"/>
    </row>
    <row r="461" spans="5:6" x14ac:dyDescent="0.25">
      <c r="E461" s="50"/>
      <c r="F461" s="50"/>
    </row>
    <row r="462" spans="5:6" x14ac:dyDescent="0.25">
      <c r="E462" s="50"/>
      <c r="F462" s="50"/>
    </row>
    <row r="463" spans="5:6" x14ac:dyDescent="0.25">
      <c r="E463" s="50"/>
      <c r="F463" s="50"/>
    </row>
    <row r="464" spans="5:6" x14ac:dyDescent="0.25">
      <c r="E464" s="50"/>
      <c r="F464" s="50"/>
    </row>
    <row r="465" spans="5:6" x14ac:dyDescent="0.25">
      <c r="E465" s="50"/>
      <c r="F465" s="50"/>
    </row>
    <row r="466" spans="5:6" x14ac:dyDescent="0.25">
      <c r="E466" s="50"/>
      <c r="F466" s="50"/>
    </row>
    <row r="467" spans="5:6" x14ac:dyDescent="0.25">
      <c r="E467" s="50"/>
      <c r="F467" s="50"/>
    </row>
    <row r="468" spans="5:6" x14ac:dyDescent="0.25">
      <c r="E468" s="50"/>
      <c r="F468" s="50"/>
    </row>
    <row r="469" spans="5:6" x14ac:dyDescent="0.25">
      <c r="E469" s="50"/>
      <c r="F469" s="50"/>
    </row>
  </sheetData>
  <dataValidations disablePrompts="1" count="2">
    <dataValidation type="list" allowBlank="1" showInputMessage="1" showErrorMessage="1" sqref="D63">
      <formula1>$D$115:$D$116</formula1>
    </dataValidation>
    <dataValidation type="list" allowBlank="1" showInputMessage="1" showErrorMessage="1" sqref="D62">
      <formula1>$D$113:$D$114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35"/>
  <sheetViews>
    <sheetView topLeftCell="A97" workbookViewId="0">
      <selection activeCell="C136" sqref="C136"/>
    </sheetView>
  </sheetViews>
  <sheetFormatPr defaultRowHeight="15" x14ac:dyDescent="0.25"/>
  <cols>
    <col min="1" max="1" width="2.85546875" customWidth="1"/>
    <col min="2" max="2" width="28.5703125" customWidth="1"/>
    <col min="3" max="4" width="42.85546875" customWidth="1"/>
  </cols>
  <sheetData>
    <row r="2" spans="2:4" x14ac:dyDescent="0.25">
      <c r="B2" t="s">
        <v>154</v>
      </c>
    </row>
    <row r="4" spans="2:4" x14ac:dyDescent="0.25">
      <c r="B4" t="s">
        <v>155</v>
      </c>
    </row>
    <row r="5" spans="2:4" x14ac:dyDescent="0.25">
      <c r="B5" t="s">
        <v>156</v>
      </c>
      <c r="C5" t="s">
        <v>157</v>
      </c>
      <c r="D5" t="s">
        <v>159</v>
      </c>
    </row>
    <row r="6" spans="2:4" x14ac:dyDescent="0.25">
      <c r="B6" s="30" t="s">
        <v>265</v>
      </c>
      <c r="C6" s="30" t="s">
        <v>266</v>
      </c>
      <c r="D6" s="30" t="s">
        <v>268</v>
      </c>
    </row>
    <row r="7" spans="2:4" ht="45" x14ac:dyDescent="0.25">
      <c r="B7" s="30" t="s">
        <v>158</v>
      </c>
      <c r="C7" s="30" t="s">
        <v>262</v>
      </c>
      <c r="D7" s="30" t="s">
        <v>263</v>
      </c>
    </row>
    <row r="8" spans="2:4" ht="45" x14ac:dyDescent="0.25">
      <c r="B8" s="30" t="s">
        <v>264</v>
      </c>
      <c r="C8" s="30" t="s">
        <v>262</v>
      </c>
      <c r="D8" s="30" t="s">
        <v>267</v>
      </c>
    </row>
    <row r="9" spans="2:4" x14ac:dyDescent="0.25">
      <c r="B9" s="30" t="s">
        <v>269</v>
      </c>
      <c r="C9" s="30" t="s">
        <v>273</v>
      </c>
      <c r="D9" s="30" t="s">
        <v>268</v>
      </c>
    </row>
    <row r="10" spans="2:4" ht="45" x14ac:dyDescent="0.25">
      <c r="B10" s="30" t="s">
        <v>272</v>
      </c>
      <c r="C10" s="30" t="s">
        <v>270</v>
      </c>
      <c r="D10" s="30" t="s">
        <v>271</v>
      </c>
    </row>
    <row r="11" spans="2:4" x14ac:dyDescent="0.25">
      <c r="B11" s="30" t="s">
        <v>274</v>
      </c>
      <c r="C11" s="30" t="s">
        <v>275</v>
      </c>
      <c r="D11" s="30" t="s">
        <v>263</v>
      </c>
    </row>
    <row r="12" spans="2:4" ht="45" x14ac:dyDescent="0.25">
      <c r="B12" s="30" t="s">
        <v>276</v>
      </c>
      <c r="C12" s="30" t="s">
        <v>279</v>
      </c>
      <c r="D12" s="30" t="s">
        <v>277</v>
      </c>
    </row>
    <row r="13" spans="2:4" ht="30" x14ac:dyDescent="0.25">
      <c r="B13" s="30" t="s">
        <v>278</v>
      </c>
      <c r="C13" s="30" t="s">
        <v>280</v>
      </c>
      <c r="D13" s="30" t="s">
        <v>281</v>
      </c>
    </row>
    <row r="14" spans="2:4" ht="30" x14ac:dyDescent="0.25">
      <c r="B14" s="30" t="s">
        <v>285</v>
      </c>
      <c r="C14" s="30" t="s">
        <v>286</v>
      </c>
      <c r="D14" s="30" t="s">
        <v>268</v>
      </c>
    </row>
    <row r="15" spans="2:4" ht="30" x14ac:dyDescent="0.25">
      <c r="B15" s="30" t="s">
        <v>288</v>
      </c>
      <c r="C15" s="30" t="s">
        <v>289</v>
      </c>
      <c r="D15" s="30" t="s">
        <v>290</v>
      </c>
    </row>
    <row r="16" spans="2:4" ht="30" x14ac:dyDescent="0.25">
      <c r="B16" s="30" t="s">
        <v>291</v>
      </c>
      <c r="C16" s="30" t="s">
        <v>292</v>
      </c>
      <c r="D16" s="30" t="s">
        <v>295</v>
      </c>
    </row>
    <row r="17" spans="2:4" ht="45" x14ac:dyDescent="0.25">
      <c r="B17" s="30" t="s">
        <v>293</v>
      </c>
      <c r="C17" s="30" t="s">
        <v>294</v>
      </c>
      <c r="D17" s="30" t="s">
        <v>296</v>
      </c>
    </row>
    <row r="18" spans="2:4" ht="60" x14ac:dyDescent="0.25">
      <c r="B18" s="30" t="s">
        <v>297</v>
      </c>
      <c r="C18" s="30" t="s">
        <v>298</v>
      </c>
      <c r="D18" s="30" t="s">
        <v>299</v>
      </c>
    </row>
    <row r="19" spans="2:4" ht="60" x14ac:dyDescent="0.25">
      <c r="B19" s="30" t="s">
        <v>300</v>
      </c>
      <c r="C19" s="30" t="s">
        <v>301</v>
      </c>
      <c r="D19" s="30" t="s">
        <v>302</v>
      </c>
    </row>
    <row r="20" spans="2:4" ht="30" x14ac:dyDescent="0.25">
      <c r="B20" s="30" t="s">
        <v>306</v>
      </c>
      <c r="C20" s="30" t="s">
        <v>307</v>
      </c>
      <c r="D20" s="30" t="s">
        <v>308</v>
      </c>
    </row>
    <row r="21" spans="2:4" ht="30" x14ac:dyDescent="0.25">
      <c r="B21" s="30" t="s">
        <v>306</v>
      </c>
      <c r="C21" s="30" t="s">
        <v>489</v>
      </c>
      <c r="D21" s="30" t="s">
        <v>490</v>
      </c>
    </row>
    <row r="22" spans="2:4" ht="75" x14ac:dyDescent="0.25">
      <c r="B22" s="30" t="s">
        <v>309</v>
      </c>
      <c r="C22" s="30" t="s">
        <v>311</v>
      </c>
      <c r="D22" s="30" t="s">
        <v>312</v>
      </c>
    </row>
    <row r="23" spans="2:4" ht="45" x14ac:dyDescent="0.25">
      <c r="B23" s="30" t="s">
        <v>310</v>
      </c>
      <c r="C23" s="30" t="s">
        <v>313</v>
      </c>
      <c r="D23" s="30" t="s">
        <v>314</v>
      </c>
    </row>
    <row r="24" spans="2:4" ht="45" x14ac:dyDescent="0.25">
      <c r="B24" s="30" t="s">
        <v>315</v>
      </c>
      <c r="C24" s="30" t="s">
        <v>316</v>
      </c>
      <c r="D24" s="30" t="s">
        <v>317</v>
      </c>
    </row>
    <row r="25" spans="2:4" ht="30" x14ac:dyDescent="0.25">
      <c r="B25" s="30" t="s">
        <v>318</v>
      </c>
      <c r="C25" s="30" t="s">
        <v>319</v>
      </c>
      <c r="D25" s="30" t="s">
        <v>320</v>
      </c>
    </row>
    <row r="26" spans="2:4" ht="30" x14ac:dyDescent="0.25">
      <c r="B26" s="30" t="s">
        <v>321</v>
      </c>
      <c r="C26" s="30" t="s">
        <v>322</v>
      </c>
      <c r="D26" s="30" t="s">
        <v>323</v>
      </c>
    </row>
    <row r="28" spans="2:4" x14ac:dyDescent="0.25">
      <c r="B28" s="49" t="s">
        <v>370</v>
      </c>
    </row>
    <row r="29" spans="2:4" x14ac:dyDescent="0.25">
      <c r="B29" t="e">
        <f>$M$1:$Z$1,$A$93:$L$180,$O$2:$Z$2,$M$3:$Z$180</f>
        <v>#VALUE!</v>
      </c>
      <c r="C29" s="48" t="s">
        <v>353</v>
      </c>
    </row>
    <row r="31" spans="2:4" x14ac:dyDescent="0.25">
      <c r="B31" t="s">
        <v>208</v>
      </c>
    </row>
    <row r="32" spans="2:4" x14ac:dyDescent="0.25">
      <c r="B32" t="s">
        <v>209</v>
      </c>
      <c r="C32" t="s">
        <v>210</v>
      </c>
    </row>
    <row r="33" spans="2:3" x14ac:dyDescent="0.25">
      <c r="B33" s="29" t="s">
        <v>211</v>
      </c>
      <c r="C33" t="s">
        <v>212</v>
      </c>
    </row>
    <row r="34" spans="2:3" x14ac:dyDescent="0.25">
      <c r="B34" t="s">
        <v>259</v>
      </c>
      <c r="C34" t="s">
        <v>260</v>
      </c>
    </row>
    <row r="35" spans="2:3" x14ac:dyDescent="0.25">
      <c r="B35" s="29" t="s">
        <v>304</v>
      </c>
      <c r="C35" t="s">
        <v>305</v>
      </c>
    </row>
    <row r="36" spans="2:3" x14ac:dyDescent="0.25">
      <c r="B36" s="29" t="s">
        <v>324</v>
      </c>
      <c r="C36" t="s">
        <v>325</v>
      </c>
    </row>
    <row r="37" spans="2:3" x14ac:dyDescent="0.25">
      <c r="B37" s="29" t="s">
        <v>326</v>
      </c>
      <c r="C37" t="s">
        <v>327</v>
      </c>
    </row>
    <row r="38" spans="2:3" x14ac:dyDescent="0.25">
      <c r="C38" t="s">
        <v>328</v>
      </c>
    </row>
    <row r="39" spans="2:3" x14ac:dyDescent="0.25">
      <c r="C39" t="s">
        <v>329</v>
      </c>
    </row>
    <row r="40" spans="2:3" x14ac:dyDescent="0.25">
      <c r="B40" s="29" t="s">
        <v>330</v>
      </c>
      <c r="C40" t="s">
        <v>331</v>
      </c>
    </row>
    <row r="41" spans="2:3" x14ac:dyDescent="0.25">
      <c r="C41" t="s">
        <v>332</v>
      </c>
    </row>
    <row r="42" spans="2:3" x14ac:dyDescent="0.25">
      <c r="C42" t="s">
        <v>334</v>
      </c>
    </row>
    <row r="43" spans="2:3" x14ac:dyDescent="0.25">
      <c r="C43" t="s">
        <v>333</v>
      </c>
    </row>
    <row r="44" spans="2:3" x14ac:dyDescent="0.25">
      <c r="B44" t="s">
        <v>335</v>
      </c>
      <c r="C44" t="s">
        <v>365</v>
      </c>
    </row>
    <row r="45" spans="2:3" x14ac:dyDescent="0.25">
      <c r="B45" t="s">
        <v>336</v>
      </c>
      <c r="C45" t="s">
        <v>337</v>
      </c>
    </row>
    <row r="46" spans="2:3" x14ac:dyDescent="0.25">
      <c r="B46" t="s">
        <v>341</v>
      </c>
      <c r="C46" t="s">
        <v>342</v>
      </c>
    </row>
    <row r="47" spans="2:3" x14ac:dyDescent="0.25">
      <c r="C47" t="s">
        <v>343</v>
      </c>
    </row>
    <row r="48" spans="2:3" x14ac:dyDescent="0.25">
      <c r="C48" t="s">
        <v>344</v>
      </c>
    </row>
    <row r="49" spans="2:3" x14ac:dyDescent="0.25">
      <c r="C49" t="s">
        <v>345</v>
      </c>
    </row>
    <row r="50" spans="2:3" x14ac:dyDescent="0.25">
      <c r="B50" t="s">
        <v>348</v>
      </c>
      <c r="C50" t="s">
        <v>349</v>
      </c>
    </row>
    <row r="51" spans="2:3" x14ac:dyDescent="0.25">
      <c r="C51" t="s">
        <v>350</v>
      </c>
    </row>
    <row r="52" spans="2:3" x14ac:dyDescent="0.25">
      <c r="B52" t="s">
        <v>354</v>
      </c>
      <c r="C52" t="s">
        <v>355</v>
      </c>
    </row>
    <row r="53" spans="2:3" x14ac:dyDescent="0.25">
      <c r="C53" t="s">
        <v>358</v>
      </c>
    </row>
    <row r="54" spans="2:3" x14ac:dyDescent="0.25">
      <c r="C54" t="s">
        <v>359</v>
      </c>
    </row>
    <row r="55" spans="2:3" x14ac:dyDescent="0.25">
      <c r="C55" t="s">
        <v>361</v>
      </c>
    </row>
    <row r="56" spans="2:3" x14ac:dyDescent="0.25">
      <c r="C56" t="s">
        <v>363</v>
      </c>
    </row>
    <row r="57" spans="2:3" x14ac:dyDescent="0.25">
      <c r="C57" t="s">
        <v>366</v>
      </c>
    </row>
    <row r="58" spans="2:3" x14ac:dyDescent="0.25">
      <c r="C58" t="s">
        <v>367</v>
      </c>
    </row>
    <row r="59" spans="2:3" x14ac:dyDescent="0.25">
      <c r="B59" t="s">
        <v>336</v>
      </c>
      <c r="C59" t="s">
        <v>364</v>
      </c>
    </row>
    <row r="60" spans="2:3" x14ac:dyDescent="0.25">
      <c r="B60" s="75" t="s">
        <v>368</v>
      </c>
      <c r="C60" t="s">
        <v>369</v>
      </c>
    </row>
    <row r="61" spans="2:3" x14ac:dyDescent="0.25">
      <c r="C61" t="s">
        <v>375</v>
      </c>
    </row>
    <row r="62" spans="2:3" x14ac:dyDescent="0.25">
      <c r="C62" t="s">
        <v>379</v>
      </c>
    </row>
    <row r="63" spans="2:3" x14ac:dyDescent="0.25">
      <c r="C63" t="s">
        <v>380</v>
      </c>
    </row>
    <row r="64" spans="2:3" x14ac:dyDescent="0.25">
      <c r="B64" t="s">
        <v>377</v>
      </c>
      <c r="C64" t="s">
        <v>381</v>
      </c>
    </row>
    <row r="65" spans="2:3" x14ac:dyDescent="0.25">
      <c r="B65" t="s">
        <v>383</v>
      </c>
      <c r="C65" t="s">
        <v>384</v>
      </c>
    </row>
    <row r="66" spans="2:3" x14ac:dyDescent="0.25">
      <c r="C66" t="s">
        <v>386</v>
      </c>
    </row>
    <row r="67" spans="2:3" x14ac:dyDescent="0.25">
      <c r="B67" t="s">
        <v>419</v>
      </c>
      <c r="C67" t="s">
        <v>421</v>
      </c>
    </row>
    <row r="68" spans="2:3" x14ac:dyDescent="0.25">
      <c r="B68" s="29" t="s">
        <v>422</v>
      </c>
      <c r="C68" t="s">
        <v>423</v>
      </c>
    </row>
    <row r="69" spans="2:3" x14ac:dyDescent="0.25">
      <c r="C69" t="s">
        <v>429</v>
      </c>
    </row>
    <row r="70" spans="2:3" x14ac:dyDescent="0.25">
      <c r="B70" s="29" t="s">
        <v>430</v>
      </c>
      <c r="C70" t="s">
        <v>431</v>
      </c>
    </row>
    <row r="71" spans="2:3" x14ac:dyDescent="0.25">
      <c r="B71" t="s">
        <v>432</v>
      </c>
      <c r="C71" t="s">
        <v>433</v>
      </c>
    </row>
    <row r="72" spans="2:3" x14ac:dyDescent="0.25">
      <c r="C72" t="s">
        <v>437</v>
      </c>
    </row>
    <row r="73" spans="2:3" x14ac:dyDescent="0.25">
      <c r="C73" t="s">
        <v>438</v>
      </c>
    </row>
    <row r="74" spans="2:3" x14ac:dyDescent="0.25">
      <c r="C74" t="s">
        <v>439</v>
      </c>
    </row>
    <row r="75" spans="2:3" x14ac:dyDescent="0.25">
      <c r="C75" t="s">
        <v>440</v>
      </c>
    </row>
    <row r="76" spans="2:3" x14ac:dyDescent="0.25">
      <c r="C76" t="s">
        <v>443</v>
      </c>
    </row>
    <row r="77" spans="2:3" x14ac:dyDescent="0.25">
      <c r="C77" t="s">
        <v>441</v>
      </c>
    </row>
    <row r="78" spans="2:3" x14ac:dyDescent="0.25">
      <c r="C78" t="s">
        <v>442</v>
      </c>
    </row>
    <row r="79" spans="2:3" x14ac:dyDescent="0.25">
      <c r="C79" t="s">
        <v>444</v>
      </c>
    </row>
    <row r="80" spans="2:3" x14ac:dyDescent="0.25">
      <c r="C80" t="s">
        <v>445</v>
      </c>
    </row>
    <row r="81" spans="2:3" x14ac:dyDescent="0.25">
      <c r="C81" t="s">
        <v>446</v>
      </c>
    </row>
    <row r="82" spans="2:3" x14ac:dyDescent="0.25">
      <c r="B82" t="s">
        <v>447</v>
      </c>
      <c r="C82" t="s">
        <v>448</v>
      </c>
    </row>
    <row r="83" spans="2:3" x14ac:dyDescent="0.25">
      <c r="C83" t="s">
        <v>450</v>
      </c>
    </row>
    <row r="84" spans="2:3" x14ac:dyDescent="0.25">
      <c r="C84" t="s">
        <v>451</v>
      </c>
    </row>
    <row r="85" spans="2:3" x14ac:dyDescent="0.25">
      <c r="C85" t="s">
        <v>452</v>
      </c>
    </row>
    <row r="86" spans="2:3" x14ac:dyDescent="0.25">
      <c r="C86" t="s">
        <v>453</v>
      </c>
    </row>
    <row r="87" spans="2:3" x14ac:dyDescent="0.25">
      <c r="C87" t="s">
        <v>454</v>
      </c>
    </row>
    <row r="88" spans="2:3" x14ac:dyDescent="0.25">
      <c r="C88" t="s">
        <v>455</v>
      </c>
    </row>
    <row r="89" spans="2:3" x14ac:dyDescent="0.25">
      <c r="C89" t="s">
        <v>456</v>
      </c>
    </row>
    <row r="90" spans="2:3" x14ac:dyDescent="0.25">
      <c r="C90" t="s">
        <v>457</v>
      </c>
    </row>
    <row r="91" spans="2:3" x14ac:dyDescent="0.25">
      <c r="C91" t="s">
        <v>458</v>
      </c>
    </row>
    <row r="92" spans="2:3" x14ac:dyDescent="0.25">
      <c r="B92" s="29" t="s">
        <v>459</v>
      </c>
      <c r="C92" t="s">
        <v>460</v>
      </c>
    </row>
    <row r="93" spans="2:3" x14ac:dyDescent="0.25">
      <c r="C93" t="s">
        <v>462</v>
      </c>
    </row>
    <row r="94" spans="2:3" x14ac:dyDescent="0.25">
      <c r="C94" t="s">
        <v>463</v>
      </c>
    </row>
    <row r="95" spans="2:3" x14ac:dyDescent="0.25">
      <c r="C95" t="s">
        <v>464</v>
      </c>
    </row>
    <row r="96" spans="2:3" x14ac:dyDescent="0.25">
      <c r="C96" t="s">
        <v>466</v>
      </c>
    </row>
    <row r="97" spans="2:3" x14ac:dyDescent="0.25">
      <c r="C97" t="s">
        <v>468</v>
      </c>
    </row>
    <row r="98" spans="2:3" x14ac:dyDescent="0.25">
      <c r="C98" t="s">
        <v>467</v>
      </c>
    </row>
    <row r="99" spans="2:3" x14ac:dyDescent="0.25">
      <c r="B99" t="s">
        <v>469</v>
      </c>
      <c r="C99" t="s">
        <v>470</v>
      </c>
    </row>
    <row r="100" spans="2:3" x14ac:dyDescent="0.25">
      <c r="C100" t="s">
        <v>471</v>
      </c>
    </row>
    <row r="101" spans="2:3" x14ac:dyDescent="0.25">
      <c r="C101" t="s">
        <v>473</v>
      </c>
    </row>
    <row r="102" spans="2:3" x14ac:dyDescent="0.25">
      <c r="C102" t="s">
        <v>474</v>
      </c>
    </row>
    <row r="103" spans="2:3" x14ac:dyDescent="0.25">
      <c r="C103" t="s">
        <v>475</v>
      </c>
    </row>
    <row r="104" spans="2:3" x14ac:dyDescent="0.25">
      <c r="C104" t="s">
        <v>476</v>
      </c>
    </row>
    <row r="105" spans="2:3" x14ac:dyDescent="0.25">
      <c r="C105" t="s">
        <v>477</v>
      </c>
    </row>
    <row r="106" spans="2:3" x14ac:dyDescent="0.25">
      <c r="C106" t="s">
        <v>478</v>
      </c>
    </row>
    <row r="107" spans="2:3" x14ac:dyDescent="0.25">
      <c r="C107" t="s">
        <v>479</v>
      </c>
    </row>
    <row r="108" spans="2:3" x14ac:dyDescent="0.25">
      <c r="C108" t="s">
        <v>507</v>
      </c>
    </row>
    <row r="109" spans="2:3" x14ac:dyDescent="0.25">
      <c r="C109" t="s">
        <v>482</v>
      </c>
    </row>
    <row r="110" spans="2:3" x14ac:dyDescent="0.25">
      <c r="C110" t="s">
        <v>483</v>
      </c>
    </row>
    <row r="111" spans="2:3" x14ac:dyDescent="0.25">
      <c r="B111" t="s">
        <v>480</v>
      </c>
      <c r="C111" t="s">
        <v>485</v>
      </c>
    </row>
    <row r="112" spans="2:3" x14ac:dyDescent="0.25">
      <c r="B112" t="s">
        <v>486</v>
      </c>
      <c r="C112" t="s">
        <v>488</v>
      </c>
    </row>
    <row r="113" spans="2:3" x14ac:dyDescent="0.25">
      <c r="C113" t="s">
        <v>487</v>
      </c>
    </row>
    <row r="114" spans="2:3" x14ac:dyDescent="0.25">
      <c r="C114" t="s">
        <v>491</v>
      </c>
    </row>
    <row r="115" spans="2:3" x14ac:dyDescent="0.25">
      <c r="C115" t="s">
        <v>492</v>
      </c>
    </row>
    <row r="116" spans="2:3" x14ac:dyDescent="0.25">
      <c r="C116" t="s">
        <v>493</v>
      </c>
    </row>
    <row r="117" spans="2:3" x14ac:dyDescent="0.25">
      <c r="B117" t="s">
        <v>494</v>
      </c>
      <c r="C117" t="s">
        <v>495</v>
      </c>
    </row>
    <row r="118" spans="2:3" x14ac:dyDescent="0.25">
      <c r="C118" t="s">
        <v>496</v>
      </c>
    </row>
    <row r="119" spans="2:3" x14ac:dyDescent="0.25">
      <c r="C119" t="s">
        <v>497</v>
      </c>
    </row>
    <row r="120" spans="2:3" x14ac:dyDescent="0.25">
      <c r="C120" t="s">
        <v>498</v>
      </c>
    </row>
    <row r="121" spans="2:3" x14ac:dyDescent="0.25">
      <c r="B121" t="s">
        <v>499</v>
      </c>
      <c r="C121" t="s">
        <v>501</v>
      </c>
    </row>
    <row r="122" spans="2:3" x14ac:dyDescent="0.25">
      <c r="C122" t="s">
        <v>500</v>
      </c>
    </row>
    <row r="123" spans="2:3" x14ac:dyDescent="0.25">
      <c r="B123" t="s">
        <v>502</v>
      </c>
      <c r="C123" t="s">
        <v>503</v>
      </c>
    </row>
    <row r="124" spans="2:3" x14ac:dyDescent="0.25">
      <c r="C124" t="s">
        <v>504</v>
      </c>
    </row>
    <row r="125" spans="2:3" x14ac:dyDescent="0.25">
      <c r="C125" t="s">
        <v>505</v>
      </c>
    </row>
    <row r="126" spans="2:3" x14ac:dyDescent="0.25">
      <c r="C126" t="s">
        <v>506</v>
      </c>
    </row>
    <row r="127" spans="2:3" x14ac:dyDescent="0.25">
      <c r="C127" t="s">
        <v>508</v>
      </c>
    </row>
    <row r="128" spans="2:3" x14ac:dyDescent="0.25">
      <c r="B128" t="s">
        <v>512</v>
      </c>
      <c r="C128" t="s">
        <v>513</v>
      </c>
    </row>
    <row r="129" spans="2:3" x14ac:dyDescent="0.25">
      <c r="C129" t="s">
        <v>514</v>
      </c>
    </row>
    <row r="130" spans="2:3" x14ac:dyDescent="0.25">
      <c r="C130" t="s">
        <v>516</v>
      </c>
    </row>
    <row r="131" spans="2:3" x14ac:dyDescent="0.25">
      <c r="C131" t="s">
        <v>517</v>
      </c>
    </row>
    <row r="132" spans="2:3" x14ac:dyDescent="0.25">
      <c r="C132" t="s">
        <v>518</v>
      </c>
    </row>
    <row r="133" spans="2:3" x14ac:dyDescent="0.25">
      <c r="C133" t="s">
        <v>519</v>
      </c>
    </row>
    <row r="134" spans="2:3" x14ac:dyDescent="0.25">
      <c r="B134" t="s">
        <v>520</v>
      </c>
      <c r="C134" t="s">
        <v>521</v>
      </c>
    </row>
    <row r="135" spans="2:3" x14ac:dyDescent="0.25">
      <c r="B135" t="s">
        <v>522</v>
      </c>
      <c r="C135" t="s">
        <v>523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Расчет</vt:lpstr>
      <vt:lpstr>Данные</vt:lpstr>
      <vt:lpstr>Справочная информация</vt:lpstr>
      <vt:lpstr>dI</vt:lpstr>
      <vt:lpstr>Dn</vt:lpstr>
      <vt:lpstr>Ii</vt:lpstr>
      <vt:lpstr>Nam</vt:lpstr>
      <vt:lpstr>Nas</vt:lpstr>
      <vt:lpstr>Nax</vt:lpstr>
      <vt:lpstr>Ni</vt:lpstr>
      <vt:lpstr>Nir</vt:lpstr>
      <vt:lpstr>Nix</vt:lpstr>
      <vt:lpstr>Nom</vt:lpstr>
      <vt:lpstr>Nos</vt:lpstr>
      <vt:lpstr>Nox</vt:lpstr>
      <vt:lpstr>Nu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Гуськов Павел</dc:creator>
  <cp:lastModifiedBy>Гуськов Павел</cp:lastModifiedBy>
  <cp:lastPrinted>2021-12-10T11:14:56Z</cp:lastPrinted>
  <dcterms:created xsi:type="dcterms:W3CDTF">2020-10-09T10:51:03Z</dcterms:created>
  <dcterms:modified xsi:type="dcterms:W3CDTF">2022-02-17T05:03:29Z</dcterms:modified>
</cp:coreProperties>
</file>