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oad_calc\"/>
    </mc:Choice>
  </mc:AlternateContent>
  <xr:revisionPtr revIDLastSave="0" documentId="13_ncr:1_{4660D412-0254-4E89-A416-BCC75247B237}" xr6:coauthVersionLast="47" xr6:coauthVersionMax="47" xr10:uidLastSave="{00000000-0000-0000-0000-000000000000}"/>
  <workbookProtection workbookAlgorithmName="SHA-512" workbookHashValue="9mxz3fM3PighPPGOyGT7rHdc6/B4iOGQrRz10zX2irUgLAg4NMjMqNBaJBs5sKQcT/dvYUleu8PltKlQJe67eg==" workbookSaltValue="SbGvEJWjIAGN6jk6xjqY9Q==" workbookSpinCount="100000" lockStructure="1"/>
  <bookViews>
    <workbookView xWindow="-120" yWindow="-120" windowWidth="29040" windowHeight="17640" xr2:uid="{00000000-000D-0000-FFFF-FFFF00000000}"/>
  </bookViews>
  <sheets>
    <sheet name="Расчет" sheetId="1" r:id="rId1"/>
    <sheet name="Данные" sheetId="2" state="hidden" r:id="rId2"/>
    <sheet name="Справка" sheetId="3" state="hidden" r:id="rId3"/>
  </sheets>
  <definedNames>
    <definedName name="kpt">Данные!$F$47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1" i="1" l="1"/>
  <c r="C69" i="1"/>
  <c r="C68" i="1"/>
  <c r="C67" i="1"/>
  <c r="C66" i="1"/>
  <c r="C65" i="1"/>
  <c r="C70" i="1"/>
  <c r="K14" i="1" l="1"/>
  <c r="C79" i="2" l="1"/>
  <c r="C80" i="2"/>
  <c r="C81" i="2"/>
  <c r="C82" i="2"/>
  <c r="C83" i="2"/>
  <c r="C78" i="2"/>
  <c r="J44" i="2" l="1"/>
  <c r="J14" i="2"/>
  <c r="J13" i="2"/>
  <c r="J12" i="2"/>
  <c r="J11" i="2"/>
  <c r="J10" i="2"/>
  <c r="J9" i="2"/>
  <c r="J8" i="2"/>
  <c r="K42" i="2"/>
  <c r="K30" i="2"/>
  <c r="K21" i="2"/>
  <c r="J39" i="2" l="1"/>
  <c r="J29" i="2"/>
  <c r="J38" i="2"/>
  <c r="J32" i="2"/>
  <c r="J34" i="2"/>
  <c r="J42" i="2"/>
  <c r="J40" i="2"/>
  <c r="J36" i="2"/>
  <c r="J27" i="2"/>
  <c r="J18" i="2"/>
  <c r="J17" i="2"/>
  <c r="J24" i="2"/>
  <c r="J26" i="2"/>
  <c r="J20" i="2"/>
  <c r="J30" i="2"/>
  <c r="J23" i="2"/>
  <c r="J25" i="2"/>
  <c r="J16" i="2"/>
  <c r="J21" i="2"/>
  <c r="J28" i="2"/>
  <c r="J19" i="2"/>
  <c r="J33" i="2"/>
  <c r="J37" i="2"/>
  <c r="J41" i="2"/>
  <c r="J35" i="2"/>
  <c r="F10" i="2" l="1"/>
  <c r="F12" i="2"/>
  <c r="F14" i="2"/>
  <c r="F23" i="2"/>
  <c r="F24" i="2"/>
  <c r="F25" i="2"/>
  <c r="F26" i="2"/>
  <c r="F27" i="2"/>
  <c r="F28" i="2"/>
  <c r="F29" i="2"/>
  <c r="F44" i="2"/>
  <c r="F8" i="2"/>
  <c r="D54" i="1"/>
  <c r="D73" i="1"/>
  <c r="D75" i="1"/>
  <c r="D74" i="1"/>
  <c r="I14" i="1"/>
  <c r="I30" i="1"/>
  <c r="I29" i="1"/>
  <c r="G8" i="2" l="1"/>
  <c r="I8" i="1" s="1"/>
  <c r="G9" i="2" l="1"/>
  <c r="I9" i="1" s="1"/>
  <c r="I42" i="1" l="1"/>
  <c r="I41" i="1"/>
  <c r="I40" i="1"/>
  <c r="I39" i="1"/>
  <c r="I38" i="1"/>
  <c r="I37" i="1"/>
  <c r="I36" i="1"/>
  <c r="I35" i="1"/>
  <c r="I34" i="1"/>
  <c r="I33" i="1"/>
  <c r="I32" i="1"/>
  <c r="G44" i="1"/>
  <c r="G42" i="1"/>
  <c r="G41" i="1"/>
  <c r="G40" i="1"/>
  <c r="J40" i="1" s="1"/>
  <c r="G39" i="1"/>
  <c r="J39" i="1" s="1"/>
  <c r="G38" i="1"/>
  <c r="J38" i="1" s="1"/>
  <c r="G37" i="1"/>
  <c r="G36" i="1"/>
  <c r="G35" i="1"/>
  <c r="J35" i="1" s="1"/>
  <c r="G34" i="1"/>
  <c r="J34" i="1" s="1"/>
  <c r="G33" i="1"/>
  <c r="G23" i="1"/>
  <c r="G32" i="1"/>
  <c r="G30" i="1"/>
  <c r="J30" i="1" s="1"/>
  <c r="G29" i="1"/>
  <c r="J29" i="1" s="1"/>
  <c r="G28" i="1"/>
  <c r="G27" i="1"/>
  <c r="G26" i="1"/>
  <c r="G25" i="1"/>
  <c r="G24" i="1"/>
  <c r="G21" i="1"/>
  <c r="G20" i="1"/>
  <c r="G19" i="1"/>
  <c r="G18" i="1"/>
  <c r="G17" i="1"/>
  <c r="G16" i="1"/>
  <c r="G14" i="1"/>
  <c r="J14" i="1" s="1"/>
  <c r="G13" i="1"/>
  <c r="G12" i="1"/>
  <c r="G11" i="1"/>
  <c r="G10" i="1"/>
  <c r="G9" i="1"/>
  <c r="J9" i="1" s="1"/>
  <c r="G8" i="1"/>
  <c r="J8" i="1" s="1"/>
  <c r="F44" i="1"/>
  <c r="H44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0" i="1"/>
  <c r="H30" i="1" s="1"/>
  <c r="N30" i="2" s="1"/>
  <c r="F29" i="1"/>
  <c r="H29" i="1" s="1"/>
  <c r="N29" i="2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8" i="1"/>
  <c r="H8" i="1" s="1"/>
  <c r="K30" i="1"/>
  <c r="K42" i="1"/>
  <c r="K41" i="1"/>
  <c r="F41" i="2" s="1"/>
  <c r="K40" i="1"/>
  <c r="F40" i="2" s="1"/>
  <c r="K39" i="1"/>
  <c r="F39" i="2" s="1"/>
  <c r="K38" i="1"/>
  <c r="F38" i="2" s="1"/>
  <c r="K37" i="1"/>
  <c r="F37" i="2" s="1"/>
  <c r="K36" i="1"/>
  <c r="F36" i="2" s="1"/>
  <c r="K35" i="1"/>
  <c r="F35" i="2" s="1"/>
  <c r="K34" i="1"/>
  <c r="F34" i="2" s="1"/>
  <c r="K33" i="1"/>
  <c r="F33" i="2" s="1"/>
  <c r="K32" i="1"/>
  <c r="F32" i="2" s="1"/>
  <c r="K21" i="1"/>
  <c r="F21" i="2" s="1"/>
  <c r="K20" i="1"/>
  <c r="F20" i="2" s="1"/>
  <c r="K19" i="1"/>
  <c r="F19" i="2" s="1"/>
  <c r="K18" i="1"/>
  <c r="K17" i="1"/>
  <c r="F17" i="2" s="1"/>
  <c r="K16" i="1"/>
  <c r="F16" i="2" s="1"/>
  <c r="K13" i="1"/>
  <c r="F13" i="2" s="1"/>
  <c r="K11" i="1"/>
  <c r="F11" i="2" s="1"/>
  <c r="K9" i="1"/>
  <c r="F9" i="2" s="1"/>
  <c r="G10" i="2"/>
  <c r="J41" i="1" l="1"/>
  <c r="N41" i="2" s="1"/>
  <c r="N35" i="2"/>
  <c r="N38" i="2"/>
  <c r="N39" i="2"/>
  <c r="J36" i="1"/>
  <c r="N36" i="2" s="1"/>
  <c r="N34" i="2"/>
  <c r="N14" i="2"/>
  <c r="N40" i="2"/>
  <c r="N8" i="2"/>
  <c r="N9" i="2"/>
  <c r="D80" i="1"/>
  <c r="F42" i="2"/>
  <c r="F30" i="2"/>
  <c r="F18" i="2"/>
  <c r="J32" i="1"/>
  <c r="N32" i="2" s="1"/>
  <c r="J33" i="1"/>
  <c r="N33" i="2" s="1"/>
  <c r="J37" i="1"/>
  <c r="N37" i="2" s="1"/>
  <c r="J42" i="1"/>
  <c r="N42" i="2" s="1"/>
  <c r="D52" i="1"/>
  <c r="D59" i="1" s="1"/>
  <c r="I10" i="1"/>
  <c r="M42" i="2" l="1"/>
  <c r="G11" i="2"/>
  <c r="I11" i="1" s="1"/>
  <c r="J11" i="1" s="1"/>
  <c r="N11" i="2" s="1"/>
  <c r="J10" i="1"/>
  <c r="N10" i="2" l="1"/>
  <c r="G12" i="2"/>
  <c r="I12" i="1" s="1"/>
  <c r="G13" i="2" l="1"/>
  <c r="I13" i="1" s="1"/>
  <c r="J13" i="1" s="1"/>
  <c r="N13" i="2" s="1"/>
  <c r="J12" i="1"/>
  <c r="N12" i="2" l="1"/>
  <c r="M14" i="2"/>
  <c r="G16" i="2"/>
  <c r="I16" i="1" s="1"/>
  <c r="J16" i="1" s="1"/>
  <c r="I44" i="1"/>
  <c r="J44" i="1" s="1"/>
  <c r="N16" i="2" l="1"/>
  <c r="N44" i="2"/>
  <c r="M44" i="2"/>
  <c r="G17" i="2"/>
  <c r="I17" i="1" s="1"/>
  <c r="J17" i="1" s="1"/>
  <c r="N17" i="2" s="1"/>
  <c r="G18" i="2" l="1"/>
  <c r="I18" i="1" s="1"/>
  <c r="J18" i="1" l="1"/>
  <c r="G19" i="2"/>
  <c r="I19" i="1" s="1"/>
  <c r="J19" i="1" s="1"/>
  <c r="N19" i="2" s="1"/>
  <c r="N18" i="2" l="1"/>
  <c r="G20" i="2"/>
  <c r="I20" i="1" l="1"/>
  <c r="J20" i="1" s="1"/>
  <c r="N20" i="2" l="1"/>
  <c r="G21" i="2"/>
  <c r="I21" i="1" l="1"/>
  <c r="J21" i="1" s="1"/>
  <c r="N21" i="2" l="1"/>
  <c r="M21" i="2"/>
  <c r="G23" i="2"/>
  <c r="I23" i="1" l="1"/>
  <c r="J23" i="1" s="1"/>
  <c r="N23" i="2" l="1"/>
  <c r="G24" i="2"/>
  <c r="I24" i="1" s="1"/>
  <c r="J24" i="1" s="1"/>
  <c r="N24" i="2" s="1"/>
  <c r="G25" i="2" l="1"/>
  <c r="I25" i="1" l="1"/>
  <c r="J25" i="1" s="1"/>
  <c r="N25" i="2" l="1"/>
  <c r="G26" i="2"/>
  <c r="I26" i="1" s="1"/>
  <c r="J26" i="1" s="1"/>
  <c r="N26" i="2" s="1"/>
  <c r="D76" i="1" l="1"/>
  <c r="D82" i="1"/>
  <c r="G27" i="2"/>
  <c r="I27" i="1" s="1"/>
  <c r="J27" i="1" s="1"/>
  <c r="N27" i="2" s="1"/>
  <c r="D83" i="1" l="1"/>
  <c r="D81" i="1"/>
  <c r="G28" i="2"/>
  <c r="F52" i="2" s="1"/>
  <c r="L28" i="2" l="1"/>
  <c r="E28" i="1" s="1"/>
  <c r="I28" i="1"/>
  <c r="J28" i="1" s="1"/>
  <c r="N28" i="2" l="1"/>
  <c r="M30" i="2"/>
  <c r="L44" i="2" s="1"/>
  <c r="E44" i="1" s="1"/>
  <c r="F89" i="2" s="1"/>
  <c r="D53" i="1"/>
  <c r="F87" i="2" s="1"/>
  <c r="D79" i="1"/>
  <c r="L27" i="2" l="1"/>
  <c r="E27" i="1" s="1"/>
  <c r="L25" i="2"/>
  <c r="E25" i="1" s="1"/>
  <c r="L26" i="2"/>
  <c r="E26" i="1" s="1"/>
  <c r="L23" i="2"/>
  <c r="E23" i="1" s="1"/>
  <c r="L24" i="2"/>
  <c r="E24" i="1" s="1"/>
  <c r="L14" i="2"/>
  <c r="E14" i="1" s="1"/>
  <c r="L19" i="2"/>
  <c r="E19" i="1" s="1"/>
  <c r="L11" i="2"/>
  <c r="E11" i="1" s="1"/>
  <c r="L13" i="2"/>
  <c r="E13" i="1" s="1"/>
  <c r="L10" i="2"/>
  <c r="E10" i="1" s="1"/>
  <c r="L18" i="2"/>
  <c r="E18" i="1" s="1"/>
  <c r="L20" i="2"/>
  <c r="E20" i="1" s="1"/>
  <c r="L21" i="2"/>
  <c r="E21" i="1" s="1"/>
  <c r="L17" i="2"/>
  <c r="E17" i="1" s="1"/>
  <c r="L16" i="2"/>
  <c r="E16" i="1" s="1"/>
  <c r="L12" i="2"/>
  <c r="E12" i="1" s="1"/>
  <c r="L8" i="2"/>
  <c r="E8" i="1" s="1"/>
  <c r="L9" i="2"/>
  <c r="E9" i="1" s="1"/>
  <c r="L30" i="2"/>
  <c r="E30" i="1" s="1"/>
  <c r="L29" i="2"/>
  <c r="E29" i="1" s="1"/>
  <c r="L32" i="2"/>
  <c r="E32" i="1" s="1"/>
  <c r="L34" i="2"/>
  <c r="E34" i="1" s="1"/>
  <c r="L35" i="2"/>
  <c r="E35" i="1" s="1"/>
  <c r="L39" i="2"/>
  <c r="E39" i="1" s="1"/>
  <c r="L37" i="2"/>
  <c r="E37" i="1" s="1"/>
  <c r="L41" i="2"/>
  <c r="E41" i="1" s="1"/>
  <c r="L36" i="2"/>
  <c r="E36" i="1" s="1"/>
  <c r="L38" i="2"/>
  <c r="E38" i="1" s="1"/>
  <c r="L42" i="2"/>
  <c r="E42" i="1" s="1"/>
  <c r="L40" i="2"/>
  <c r="E40" i="1" s="1"/>
  <c r="L33" i="2"/>
  <c r="E33" i="1" s="1"/>
  <c r="D55" i="1"/>
  <c r="F73" i="2"/>
  <c r="D60" i="1"/>
  <c r="D61" i="1" s="1"/>
  <c r="D81" i="2" l="1"/>
  <c r="D68" i="1" s="1"/>
  <c r="D79" i="2"/>
  <c r="D66" i="1" s="1"/>
  <c r="D83" i="2"/>
  <c r="D70" i="1" s="1"/>
  <c r="D80" i="2"/>
  <c r="D67" i="1" s="1"/>
  <c r="D78" i="2"/>
  <c r="D65" i="1" s="1"/>
  <c r="D82" i="2"/>
  <c r="D69" i="1" s="1"/>
  <c r="D62" i="1"/>
  <c r="F88" i="2"/>
  <c r="F86" i="2" s="1"/>
</calcChain>
</file>

<file path=xl/sharedStrings.xml><?xml version="1.0" encoding="utf-8"?>
<sst xmlns="http://schemas.openxmlformats.org/spreadsheetml/2006/main" count="220" uniqueCount="202">
  <si>
    <t>Калькулятор СФ-МАШ-4</t>
  </si>
  <si>
    <t>Таблица 1. Количество устройств и аксессуаров</t>
  </si>
  <si>
    <t>Тип устройства</t>
  </si>
  <si>
    <t>Количество устройств, шт.</t>
  </si>
  <si>
    <t>Возможно установить, шт.</t>
  </si>
  <si>
    <t>Ток устройства в дежурном режиме, мА</t>
  </si>
  <si>
    <t>Добавочный ток  устройства в режиме тревоги, мА</t>
  </si>
  <si>
    <t>Ток всех устройств в дежурном режиме, мА</t>
  </si>
  <si>
    <t xml:space="preserve">Количество устройств, индицирующих тревогу </t>
  </si>
  <si>
    <t>Добавочный ток всех устройств в режиме тревоги, мА</t>
  </si>
  <si>
    <t>Количество  изоляторов КЗ</t>
  </si>
  <si>
    <t>Модули</t>
  </si>
  <si>
    <t>Оповещатели</t>
  </si>
  <si>
    <t>Таблица 2. Параметры шлейфа.</t>
  </si>
  <si>
    <t>Таблица 1а. Проверка расчета.</t>
  </si>
  <si>
    <t>Коэффициент распределения нагрузки в шлейфе</t>
  </si>
  <si>
    <t>Максимальное сопротивление адресного шлейфа, Ом</t>
  </si>
  <si>
    <t>Таблица 3. Токи адресного шлейфа.</t>
  </si>
  <si>
    <t>Ток шлейфа в дежурном режиме, мА</t>
  </si>
  <si>
    <t>Ток шлейфа максимальный, в режиме активности, мА</t>
  </si>
  <si>
    <t>Ток шлейфа максимально допустимый, мА</t>
  </si>
  <si>
    <t>Запас тока шлейфа, мА</t>
  </si>
  <si>
    <t>Таблица 4. Расчет параметров аккумуляторной батареи.</t>
  </si>
  <si>
    <t>Ток, потребляемый от АКБ модулем СФ-МАШ-4, мА</t>
  </si>
  <si>
    <t>Ток, потребляемый от АКБ в дежурном режиме, мА</t>
  </si>
  <si>
    <t>Ток, потребляемый от АКБ в режиме активности, мА</t>
  </si>
  <si>
    <t>Ёмкость АКБ, рекомендуемая, Ач</t>
  </si>
  <si>
    <t>Таблица 5. Максимальная длина адресного шлейфа.</t>
  </si>
  <si>
    <t>Таблица 6. Устройства в адресном шлейфе.</t>
  </si>
  <si>
    <t>Количество устройств в адресном шлейфе</t>
  </si>
  <si>
    <t>Количество изоляторов короткого замыкания</t>
  </si>
  <si>
    <t>Таблица 7. Справочные данные.</t>
  </si>
  <si>
    <t>Максимальный добавочный ток индикации тревоги, мА</t>
  </si>
  <si>
    <t>Добавочный ток всех сработавших оповещателей, мА</t>
  </si>
  <si>
    <t>Ток сработавших изоляторов КЗ, мА</t>
  </si>
  <si>
    <t>Сопротивление, вносимое изоляторами КЗ, Ом</t>
  </si>
  <si>
    <t>Количество устройств на изолятор короткого замыкания</t>
  </si>
  <si>
    <t>НЕТ</t>
  </si>
  <si>
    <t>Расчет верен</t>
  </si>
  <si>
    <t>Превышен максимальный ток шлейфа</t>
  </si>
  <si>
    <t>Превышена максимальная ёмкость АКБ</t>
  </si>
  <si>
    <t xml:space="preserve"> </t>
  </si>
  <si>
    <t>Указано больше ВУОСов, чем извещателей</t>
  </si>
  <si>
    <t/>
  </si>
  <si>
    <t>Извещатели автоматические</t>
  </si>
  <si>
    <t>Извещатели ручные</t>
  </si>
  <si>
    <t>MC5A-G-63 Устройство дистанционного управления</t>
  </si>
  <si>
    <t>MC5A-R-63 Извещатель ручной</t>
  </si>
  <si>
    <t>MC5A-Y-63 Устройство дастанционного пуска</t>
  </si>
  <si>
    <t>WCP5A-R-63 Извещатель ручной влагозащищённый</t>
  </si>
  <si>
    <t>WCP5A-Y-63 Устройство дастанционного пуска влагозащищённое</t>
  </si>
  <si>
    <t>WCP5A-G-63 Устройство дистанционного управления влагозащищённое</t>
  </si>
  <si>
    <t>СФ-200И Изолятор короткого замыкания</t>
  </si>
  <si>
    <t>ОС200СЗ-63 Оповещатель светозвуковой</t>
  </si>
  <si>
    <t>ОС200СЗ-63 Оповещатель светозвуковой, только звук</t>
  </si>
  <si>
    <t>ОС200СЗ-63 Оповещатель светозвуковой, только свет</t>
  </si>
  <si>
    <t>ОС200СЗ/IP-63 Оповещатель светозвуковой, 90 дБ</t>
  </si>
  <si>
    <t>ОС200СЗ/IP-63 Оповещатель светозвуковой, 90 дБ, только звук</t>
  </si>
  <si>
    <t>ОС200СЗ/IP-63 Оповещатель светозвуковой, 95 дБ</t>
  </si>
  <si>
    <t>ОС200СЗ/IP-63 Оповещатель светозвуковой, 95 дБ, только звук</t>
  </si>
  <si>
    <t>ОС200СЗ/IP-63 Оповещатель светозвуковой, только свет</t>
  </si>
  <si>
    <t>ОС200Т-63 Оповещатель световой табличный, режим "Выкл/постоянно"</t>
  </si>
  <si>
    <t>ОС200Т-63 Оповещатель световой табличный, режим "Выкл/мигание"</t>
  </si>
  <si>
    <t>ОС200Т-63 Оповещатель световой табличный, режим "Вкл/мигание"</t>
  </si>
  <si>
    <t>СФ-201Е-240 Модуль управления</t>
  </si>
  <si>
    <t>С22051Е-63 Извещатель дымовой</t>
  </si>
  <si>
    <t>С22051Еи-63 Извещатель дымовой с изолятором КЗ</t>
  </si>
  <si>
    <t>С52051RE-63 Извещатель тепловой</t>
  </si>
  <si>
    <t>С52051REи-63 Извещатель тепловой с изолятором КЗ</t>
  </si>
  <si>
    <t>С22051TE-63 Извещатель комбинированный</t>
  </si>
  <si>
    <t>С22051TEи-63 Извещатель комбинированный с изолятором КЗ</t>
  </si>
  <si>
    <t>С6500-63 Извещатель линейный</t>
  </si>
  <si>
    <t>СФ-МКП-220 Блок управления клапаном</t>
  </si>
  <si>
    <t>СФ-201-ППА Модуль пуска пожарной автоматики</t>
  </si>
  <si>
    <t>СФ-210-ПБИ Модуль подключения безадресных извещателей</t>
  </si>
  <si>
    <t>СФ-221Е Модуль контроля и управления</t>
  </si>
  <si>
    <t>СФ-220Е Модуль контроля двухканальный</t>
  </si>
  <si>
    <t>СФ-210Е Модуль контроля одноканальный</t>
  </si>
  <si>
    <t>Акксесуары</t>
  </si>
  <si>
    <t>ВУОС</t>
  </si>
  <si>
    <t>Извещатели</t>
  </si>
  <si>
    <t>С52051REи</t>
  </si>
  <si>
    <t>С52051RE</t>
  </si>
  <si>
    <t>С22051Е</t>
  </si>
  <si>
    <t>С22051Еи</t>
  </si>
  <si>
    <t>С22051TE</t>
  </si>
  <si>
    <t>С22051TEи</t>
  </si>
  <si>
    <t>ИПР</t>
  </si>
  <si>
    <t>MC5A-R</t>
  </si>
  <si>
    <t>С6500</t>
  </si>
  <si>
    <t>MC5A-G</t>
  </si>
  <si>
    <t>MC5A-Y</t>
  </si>
  <si>
    <t>WCP5A-R</t>
  </si>
  <si>
    <t>WCP5A-Y</t>
  </si>
  <si>
    <t>WCP5A-G</t>
  </si>
  <si>
    <t>СФ-201Е-240</t>
  </si>
  <si>
    <t>СФ-210Е</t>
  </si>
  <si>
    <t>СФ-220Е</t>
  </si>
  <si>
    <t>СФ-221Е</t>
  </si>
  <si>
    <t>СФ-201-ППА</t>
  </si>
  <si>
    <t>СФ-210-ПБИ</t>
  </si>
  <si>
    <t>СФ-МКП-220</t>
  </si>
  <si>
    <t>СФ-200И</t>
  </si>
  <si>
    <t>ОС200СЗ СЗ</t>
  </si>
  <si>
    <t>ОС200СЗ З</t>
  </si>
  <si>
    <t>ОС200СЗ С</t>
  </si>
  <si>
    <t>ОС200СЗ/IP СЗ 90</t>
  </si>
  <si>
    <t>ОС200СЗ/IP З 90</t>
  </si>
  <si>
    <t>ОС200СЗ/IP СЗ 95</t>
  </si>
  <si>
    <t>ОС200СЗ/IP З 95</t>
  </si>
  <si>
    <t>ОС200СЗ/IP С</t>
  </si>
  <si>
    <t>ОС200Т ВП</t>
  </si>
  <si>
    <t>ОС200Т ВМ</t>
  </si>
  <si>
    <t>ОС200Т ВкМ</t>
  </si>
  <si>
    <t>Имя (дублер)</t>
  </si>
  <si>
    <t>Ток в дежурном режиме, мА</t>
  </si>
  <si>
    <t>Ток индикации тревоги, мА</t>
  </si>
  <si>
    <t>Сопротивление изолятора, Ом</t>
  </si>
  <si>
    <t>Количество ИКЗ, учитываемое</t>
  </si>
  <si>
    <t>Вычет количества индицирующих</t>
  </si>
  <si>
    <t>Количество занимаемых адресов</t>
  </si>
  <si>
    <t xml:space="preserve">очередь включения индикации </t>
  </si>
  <si>
    <t>Коэффициент потребления тока от источника питания 24 В</t>
  </si>
  <si>
    <t>Коэффициент пересчета с 24 В на АКБ</t>
  </si>
  <si>
    <t>Количество задействованых индикаторов</t>
  </si>
  <si>
    <t>Вся нагрузка на одном конце шлейфа</t>
  </si>
  <si>
    <t>Неравномерное распределение</t>
  </si>
  <si>
    <t>Равномерное распределение</t>
  </si>
  <si>
    <t>Сопротивление шлейфа, Ом</t>
  </si>
  <si>
    <t>Согласно реализации протокола</t>
  </si>
  <si>
    <t>Согласно ГОСТ</t>
  </si>
  <si>
    <t>Коэффициент запаса емкости АКБ</t>
  </si>
  <si>
    <t>Время работы в дежурном режиме</t>
  </si>
  <si>
    <t>Время работы в режиме активности</t>
  </si>
  <si>
    <t>Удельное сопротивление меди, Ом*м*10E-6</t>
  </si>
  <si>
    <t>Длина отрезка кабеля, за пару, поэтому 2000 м.</t>
  </si>
  <si>
    <t>Максимальное сопротивление шлейфа, Ом</t>
  </si>
  <si>
    <t>Ток одного сработавшего изолятора короткого замыкания, мА</t>
  </si>
  <si>
    <t>Максимальное количество адресов адвансед</t>
  </si>
  <si>
    <t>Превышена максимальная емкость АКБ</t>
  </si>
  <si>
    <t>Есть неучитываемые ВУОСы</t>
  </si>
  <si>
    <t>Количество занятых адресов датчиков</t>
  </si>
  <si>
    <t>Количество занятых адресов модулей</t>
  </si>
  <si>
    <t>Максимальная длина шлейфа по протоколу</t>
  </si>
  <si>
    <t>Таблица 10. Параметры адресного шлейфа</t>
  </si>
  <si>
    <t>Максимальное количество горящих индикаторов</t>
  </si>
  <si>
    <t>Максимально допустимое падение напряжения в шлейфе, мВ</t>
  </si>
  <si>
    <t>Таблица 9. Коэффициенты потребления тока</t>
  </si>
  <si>
    <t>Коэффициент запаса</t>
  </si>
  <si>
    <t>Таблица 11. Выбор к таблице 2.</t>
  </si>
  <si>
    <t>Таблица 12. Коэффициенты расчёта АКБ</t>
  </si>
  <si>
    <t>Таблица 13. Данные для определения длины шлейфа</t>
  </si>
  <si>
    <t>Таблица 8. Параметры устройств.</t>
  </si>
  <si>
    <t>Таблица 14. Проверка расчета</t>
  </si>
  <si>
    <t>6.0.1</t>
  </si>
  <si>
    <t>Закончил рассчётную таблицу</t>
  </si>
  <si>
    <t>6.0.2</t>
  </si>
  <si>
    <t>ограничение по количеству, вариант 2</t>
  </si>
  <si>
    <t>Ограничение по току, вариант 2</t>
  </si>
  <si>
    <t>Количество по группам устройств</t>
  </si>
  <si>
    <t>Все ИПР</t>
  </si>
  <si>
    <t>Все модули</t>
  </si>
  <si>
    <t>Все ос200</t>
  </si>
  <si>
    <t>Макс. ток по группам</t>
  </si>
  <si>
    <t>Ввожу проверку данных</t>
  </si>
  <si>
    <t>Все извещатели</t>
  </si>
  <si>
    <t>Все ОС200</t>
  </si>
  <si>
    <t>Макс. ток устройств</t>
  </si>
  <si>
    <t>Основная цель - обеспечить проверку вводимых значений по столбцу "Возможно установить"</t>
  </si>
  <si>
    <t>Теперь, немного утяжелив формулы добился отвязки вводимого значения от проверочного</t>
  </si>
  <si>
    <t>В пятой версии эта операция не работала корректно, т.к. вводимое значение влияло на проверочное значение</t>
  </si>
  <si>
    <t>6.0.3</t>
  </si>
  <si>
    <t>Попробую в условное форматирование</t>
  </si>
  <si>
    <t>6.0</t>
  </si>
  <si>
    <t>Релиз</t>
  </si>
  <si>
    <t>6.1</t>
  </si>
  <si>
    <t>Позволил добавлять изоляторы вручную</t>
  </si>
  <si>
    <t>6.2</t>
  </si>
  <si>
    <t>Исправил ошибку в токах потребления ОС200С3/IP-63</t>
  </si>
  <si>
    <t>Изменил КПТ АКБ с 2,765/0,95 на 2,765</t>
  </si>
  <si>
    <t>6.2b</t>
  </si>
  <si>
    <t>Коплю на 6.3, проверяю сечения проводов, надо серить толстые при ручниках и ОС200</t>
  </si>
  <si>
    <t>Таблица 15. Определение длины шлейфа</t>
  </si>
  <si>
    <t>Сечение, мм2</t>
  </si>
  <si>
    <t>Длина</t>
  </si>
  <si>
    <t>Сопротивление</t>
  </si>
  <si>
    <t>Кроме того переоформил сечение проводов</t>
  </si>
  <si>
    <t>Добавил изолятор в С6500, он там есть</t>
  </si>
  <si>
    <t>6.3</t>
  </si>
  <si>
    <t>Релиз 6.2b</t>
  </si>
  <si>
    <t>6.3b</t>
  </si>
  <si>
    <t>Попробую добавить контроль количества устройств на изолятор</t>
  </si>
  <si>
    <t>Метки следующие:</t>
  </si>
  <si>
    <t>1-5 - желто-зелёный, нет ошибки</t>
  </si>
  <si>
    <t>5-15 - зелёный, нет ошибки</t>
  </si>
  <si>
    <t>15-25 - желтый, предупреждение</t>
  </si>
  <si>
    <t>25-35 - оранжевый, предупреждение</t>
  </si>
  <si>
    <t>35+ - красный, ошибка</t>
  </si>
  <si>
    <t>Попробовал редактировать, понял, что строку устройств на изолятор надо перенести выше, в таблицу 6</t>
  </si>
  <si>
    <t>Пробовал проверить, изменили прошивку модулей, пока количество устройств на изолятор проверять не буду</t>
  </si>
  <si>
    <t>6.4</t>
  </si>
  <si>
    <t>Правка расчёта АКБ, теперь считаем 24+1 вместо 24+3. Изменения 6.3b отменены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</si>
</sst>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E4CC"/>
        <bgColor indexed="64"/>
      </patternFill>
    </fill>
    <fill>
      <patternFill patternType="solid">
        <fgColor rgb="FFDCF1E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Protection="1">
      <protection hidden="1"/>
    </xf>
    <xf numFmtId="49" fontId="0" fillId="4" borderId="3" xfId="0" applyNumberFormat="1" applyFill="1" applyBorder="1" applyAlignment="1" applyProtection="1">
      <alignment horizontal="center" vertical="center" wrapText="1"/>
      <protection hidden="1"/>
    </xf>
    <xf numFmtId="0" fontId="0" fillId="3" borderId="1" xfId="0" applyFill="1" applyBorder="1" applyProtection="1">
      <protection hidden="1"/>
    </xf>
    <xf numFmtId="0" fontId="0" fillId="3" borderId="5" xfId="0" applyFill="1" applyBorder="1" applyProtection="1">
      <protection hidden="1"/>
    </xf>
    <xf numFmtId="2" fontId="0" fillId="3" borderId="5" xfId="0" applyNumberFormat="1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2" fontId="0" fillId="4" borderId="3" xfId="0" applyNumberFormat="1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2" fontId="0" fillId="2" borderId="3" xfId="0" applyNumberFormat="1" applyFill="1" applyBorder="1" applyAlignment="1" applyProtection="1">
      <alignment horizontal="center" vertical="center"/>
      <protection hidden="1"/>
    </xf>
    <xf numFmtId="2" fontId="0" fillId="3" borderId="5" xfId="0" applyNumberForma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horizontal="center" vertical="center"/>
      <protection hidden="1"/>
    </xf>
    <xf numFmtId="0" fontId="0" fillId="4" borderId="3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3" borderId="5" xfId="0" applyFill="1" applyBorder="1" applyAlignment="1" applyProtection="1">
      <alignment horizontal="center" vertical="center"/>
      <protection hidden="1"/>
    </xf>
    <xf numFmtId="0" fontId="0" fillId="4" borderId="1" xfId="0" applyFill="1" applyBorder="1" applyProtection="1">
      <protection hidden="1"/>
    </xf>
    <xf numFmtId="0" fontId="0" fillId="4" borderId="2" xfId="0" applyFill="1" applyBorder="1" applyProtection="1">
      <protection hidden="1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4" borderId="7" xfId="0" applyFill="1" applyBorder="1" applyProtection="1">
      <protection hidden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4" fontId="0" fillId="6" borderId="7" xfId="0" applyNumberFormat="1" applyFill="1" applyBorder="1" applyAlignment="1" applyProtection="1">
      <alignment horizontal="center" vertical="center"/>
      <protection hidden="1"/>
    </xf>
    <xf numFmtId="164" fontId="0" fillId="7" borderId="3" xfId="0" applyNumberFormat="1" applyFill="1" applyBorder="1" applyAlignment="1" applyProtection="1">
      <alignment horizontal="center" vertical="center"/>
      <protection hidden="1"/>
    </xf>
    <xf numFmtId="164" fontId="0" fillId="6" borderId="3" xfId="0" applyNumberFormat="1" applyFill="1" applyBorder="1" applyAlignment="1" applyProtection="1">
      <alignment horizontal="center" vertical="center"/>
      <protection hidden="1"/>
    </xf>
    <xf numFmtId="0" fontId="0" fillId="6" borderId="3" xfId="0" applyFill="1" applyBorder="1" applyAlignment="1" applyProtection="1">
      <alignment horizontal="center" vertical="center"/>
      <protection hidden="1"/>
    </xf>
    <xf numFmtId="2" fontId="0" fillId="6" borderId="3" xfId="0" applyNumberFormat="1" applyFill="1" applyBorder="1" applyAlignment="1" applyProtection="1">
      <alignment horizontal="center" vertical="center"/>
      <protection hidden="1"/>
    </xf>
    <xf numFmtId="2" fontId="0" fillId="7" borderId="3" xfId="0" applyNumberFormat="1" applyFill="1" applyBorder="1" applyAlignment="1" applyProtection="1">
      <alignment horizontal="center" vertical="center"/>
      <protection hidden="1"/>
    </xf>
    <xf numFmtId="1" fontId="0" fillId="6" borderId="3" xfId="0" applyNumberFormat="1" applyFill="1" applyBorder="1" applyAlignment="1" applyProtection="1">
      <alignment horizontal="center" vertical="center"/>
      <protection hidden="1"/>
    </xf>
    <xf numFmtId="1" fontId="0" fillId="7" borderId="3" xfId="0" applyNumberFormat="1" applyFill="1" applyBorder="1" applyAlignment="1" applyProtection="1">
      <alignment horizontal="center" vertical="center"/>
      <protection hidden="1"/>
    </xf>
    <xf numFmtId="0" fontId="0" fillId="5" borderId="0" xfId="0" applyFill="1" applyProtection="1">
      <protection hidden="1"/>
    </xf>
    <xf numFmtId="49" fontId="0" fillId="5" borderId="0" xfId="0" applyNumberFormat="1" applyFill="1" applyAlignment="1" applyProtection="1">
      <alignment horizontal="center" vertical="center" wrapText="1"/>
      <protection hidden="1"/>
    </xf>
    <xf numFmtId="0" fontId="0" fillId="5" borderId="8" xfId="0" applyFill="1" applyBorder="1" applyProtection="1">
      <protection hidden="1"/>
    </xf>
    <xf numFmtId="0" fontId="0" fillId="5" borderId="0" xfId="0" applyFill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2" fontId="0" fillId="5" borderId="0" xfId="0" applyNumberFormat="1" applyFill="1" applyAlignment="1" applyProtection="1">
      <alignment horizontal="center" vertical="center"/>
      <protection hidden="1"/>
    </xf>
    <xf numFmtId="2" fontId="0" fillId="5" borderId="8" xfId="0" applyNumberFormat="1" applyFill="1" applyBorder="1" applyAlignment="1" applyProtection="1">
      <alignment horizontal="center" vertical="center"/>
      <protection hidden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" xfId="0" applyBorder="1"/>
    <xf numFmtId="0" fontId="0" fillId="0" borderId="5" xfId="0" applyBorder="1"/>
    <xf numFmtId="0" fontId="0" fillId="0" borderId="13" xfId="0" applyBorder="1"/>
    <xf numFmtId="0" fontId="2" fillId="0" borderId="1" xfId="0" applyFont="1" applyBorder="1"/>
    <xf numFmtId="1" fontId="0" fillId="4" borderId="3" xfId="0" applyNumberForma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" fontId="0" fillId="0" borderId="3" xfId="0" applyNumberFormat="1" applyBorder="1"/>
    <xf numFmtId="2" fontId="0" fillId="0" borderId="3" xfId="0" applyNumberFormat="1" applyBorder="1"/>
    <xf numFmtId="1" fontId="0" fillId="2" borderId="3" xfId="0" applyNumberFormat="1" applyFill="1" applyBorder="1" applyAlignment="1" applyProtection="1">
      <alignment horizontal="center" vertical="center"/>
      <protection hidden="1"/>
    </xf>
    <xf numFmtId="0" fontId="4" fillId="5" borderId="0" xfId="0" applyFont="1" applyFill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16" fontId="0" fillId="0" borderId="0" xfId="0" quotePrefix="1" applyNumberFormat="1"/>
    <xf numFmtId="0" fontId="0" fillId="0" borderId="0" xfId="0" quotePrefix="1"/>
    <xf numFmtId="1" fontId="0" fillId="6" borderId="1" xfId="0" applyNumberFormat="1" applyFill="1" applyBorder="1" applyAlignment="1" applyProtection="1">
      <alignment horizontal="center" vertical="center"/>
      <protection hidden="1"/>
    </xf>
    <xf numFmtId="1" fontId="0" fillId="7" borderId="1" xfId="0" applyNumberFormat="1" applyFill="1" applyBorder="1" applyAlignment="1" applyProtection="1">
      <alignment horizontal="center" vertical="center"/>
      <protection hidden="1"/>
    </xf>
    <xf numFmtId="0" fontId="0" fillId="5" borderId="11" xfId="0" applyFill="1" applyBorder="1" applyAlignment="1" applyProtection="1">
      <alignment vertical="center"/>
      <protection hidden="1"/>
    </xf>
    <xf numFmtId="0" fontId="0" fillId="5" borderId="0" xfId="0" applyFill="1" applyAlignment="1" applyProtection="1">
      <alignment vertical="center"/>
      <protection hidden="1"/>
    </xf>
    <xf numFmtId="0" fontId="0" fillId="4" borderId="3" xfId="0" applyFill="1" applyBorder="1" applyAlignment="1" applyProtection="1">
      <alignment horizontal="left" vertical="center"/>
      <protection hidden="1"/>
    </xf>
    <xf numFmtId="0" fontId="0" fillId="2" borderId="3" xfId="0" applyFill="1" applyBorder="1" applyAlignment="1" applyProtection="1">
      <alignment horizontal="left" vertical="center"/>
      <protection hidden="1"/>
    </xf>
    <xf numFmtId="1" fontId="0" fillId="0" borderId="0" xfId="0" applyNumberFormat="1"/>
    <xf numFmtId="1" fontId="0" fillId="6" borderId="7" xfId="0" applyNumberFormat="1" applyFill="1" applyBorder="1" applyAlignment="1" applyProtection="1">
      <alignment horizontal="center" vertical="center"/>
      <protection hidden="1"/>
    </xf>
    <xf numFmtId="2" fontId="0" fillId="6" borderId="7" xfId="0" applyNumberFormat="1" applyFill="1" applyBorder="1" applyAlignment="1" applyProtection="1">
      <alignment horizontal="center" vertical="center"/>
      <protection hidden="1"/>
    </xf>
    <xf numFmtId="0" fontId="3" fillId="0" borderId="0" xfId="0" applyFont="1"/>
    <xf numFmtId="0" fontId="0" fillId="4" borderId="1" xfId="0" applyFill="1" applyBorder="1" applyAlignment="1" applyProtection="1">
      <alignment horizontal="left" vertical="center"/>
      <protection hidden="1"/>
    </xf>
    <xf numFmtId="0" fontId="0" fillId="4" borderId="2" xfId="0" applyFill="1" applyBorder="1" applyAlignment="1" applyProtection="1">
      <alignment horizontal="left" vertical="center"/>
      <protection hidden="1"/>
    </xf>
    <xf numFmtId="0" fontId="0" fillId="2" borderId="1" xfId="0" applyFill="1" applyBorder="1" applyAlignment="1" applyProtection="1">
      <alignment horizontal="left" vertical="center"/>
      <protection hidden="1"/>
    </xf>
    <xf numFmtId="0" fontId="0" fillId="2" borderId="2" xfId="0" applyFill="1" applyBorder="1" applyAlignment="1" applyProtection="1">
      <alignment horizontal="left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4" borderId="2" xfId="0" applyFill="1" applyBorder="1" applyAlignment="1" applyProtection="1">
      <alignment horizontal="center" vertical="center"/>
      <protection hidden="1"/>
    </xf>
    <xf numFmtId="0" fontId="0" fillId="5" borderId="11" xfId="0" applyFill="1" applyBorder="1" applyAlignment="1" applyProtection="1">
      <alignment horizontal="center" vertical="center"/>
      <protection hidden="1"/>
    </xf>
    <xf numFmtId="0" fontId="0" fillId="5" borderId="0" xfId="0" applyFill="1" applyAlignment="1" applyProtection="1">
      <alignment horizontal="center" vertical="center"/>
      <protection hidden="1"/>
    </xf>
    <xf numFmtId="0" fontId="3" fillId="5" borderId="1" xfId="0" applyFont="1" applyFill="1" applyBorder="1" applyAlignment="1" applyProtection="1">
      <alignment horizontal="center" vertical="center"/>
      <protection hidden="1"/>
    </xf>
    <xf numFmtId="0" fontId="3" fillId="5" borderId="5" xfId="0" applyFont="1" applyFill="1" applyBorder="1" applyAlignment="1" applyProtection="1">
      <alignment horizontal="center" vertical="center"/>
      <protection hidden="1"/>
    </xf>
    <xf numFmtId="0" fontId="3" fillId="5" borderId="2" xfId="0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11">
    <dxf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b val="0"/>
        <i val="0"/>
        <color auto="1"/>
      </font>
      <fill>
        <patternFill>
          <bgColor rgb="FF92D050"/>
        </patternFill>
      </fill>
    </dxf>
    <dxf>
      <font>
        <b val="0"/>
        <i val="0"/>
        <color auto="1"/>
      </font>
      <fill>
        <patternFill>
          <bgColor rgb="FFFF0000"/>
        </patternFill>
      </fill>
    </dxf>
    <dxf>
      <font>
        <color theme="0" tint="-0.24994659260841701"/>
      </font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 val="0"/>
        <i val="0"/>
      </font>
      <fill>
        <patternFill>
          <bgColor rgb="FFFFFF00"/>
        </patternFill>
      </fill>
    </dxf>
    <dxf>
      <font>
        <b/>
        <i val="0"/>
      </font>
    </dxf>
  </dxfs>
  <tableStyles count="0" defaultTableStyle="TableStyleMedium2" defaultPivotStyle="PivotStyleLight16"/>
  <colors>
    <mruColors>
      <color rgb="FFDCF1E6"/>
      <color rgb="FFB8E4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0</xdr:row>
          <xdr:rowOff>180975</xdr:rowOff>
        </xdr:from>
        <xdr:to>
          <xdr:col>2</xdr:col>
          <xdr:colOff>1866900</xdr:colOff>
          <xdr:row>3</xdr:row>
          <xdr:rowOff>47625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"/>
  <sheetViews>
    <sheetView tabSelected="1" workbookViewId="0">
      <selection activeCell="D8" sqref="D8"/>
    </sheetView>
  </sheetViews>
  <sheetFormatPr defaultRowHeight="15" x14ac:dyDescent="0.25"/>
  <cols>
    <col min="1" max="1" width="2.85546875" style="9" customWidth="1"/>
    <col min="2" max="2" width="13.5703125" style="9" customWidth="1"/>
    <col min="3" max="3" width="54.28515625" style="9" customWidth="1"/>
    <col min="4" max="5" width="11.42578125" style="9" customWidth="1"/>
    <col min="6" max="12" width="17.140625" style="9" customWidth="1"/>
    <col min="13" max="16384" width="9.140625" style="9"/>
  </cols>
  <sheetData>
    <row r="1" spans="1:26" ht="1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26" ht="15" customHeight="1" x14ac:dyDescent="0.35">
      <c r="A2" s="38"/>
      <c r="B2" s="38"/>
      <c r="C2" s="38"/>
      <c r="D2" s="38"/>
      <c r="E2" s="58" t="s">
        <v>0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</row>
    <row r="4" spans="1:26" ht="24.75" customHeight="1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</row>
    <row r="5" spans="1:26" x14ac:dyDescent="0.25">
      <c r="A5" s="38"/>
      <c r="B5" s="38"/>
      <c r="C5" s="38" t="s">
        <v>1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</row>
    <row r="6" spans="1:26" ht="60" x14ac:dyDescent="0.25">
      <c r="A6" s="38"/>
      <c r="B6" s="76" t="s">
        <v>2</v>
      </c>
      <c r="C6" s="77"/>
      <c r="D6" s="10" t="s">
        <v>3</v>
      </c>
      <c r="E6" s="10" t="s">
        <v>4</v>
      </c>
      <c r="F6" s="10" t="s">
        <v>5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9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</row>
    <row r="7" spans="1:26" x14ac:dyDescent="0.25">
      <c r="A7" s="38"/>
      <c r="B7" s="11"/>
      <c r="C7" s="12" t="s">
        <v>44</v>
      </c>
      <c r="D7" s="12"/>
      <c r="E7" s="12"/>
      <c r="F7" s="13"/>
      <c r="G7" s="12"/>
      <c r="H7" s="12"/>
      <c r="I7" s="12"/>
      <c r="J7" s="12"/>
      <c r="K7" s="14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x14ac:dyDescent="0.25">
      <c r="A8" s="38"/>
      <c r="B8" s="72" t="s">
        <v>65</v>
      </c>
      <c r="C8" s="73"/>
      <c r="D8" s="26">
        <v>0</v>
      </c>
      <c r="E8" s="53">
        <f>MAX(0,MIN(Данные!J8,Данные!L8))</f>
        <v>159</v>
      </c>
      <c r="F8" s="16">
        <f>Данные!C8*kpt</f>
        <v>0.28499999999999998</v>
      </c>
      <c r="G8" s="16">
        <f>Данные!D8*kpt</f>
        <v>3.3249999999999997</v>
      </c>
      <c r="H8" s="16">
        <f t="shared" ref="H8:H14" si="0">D8*F8</f>
        <v>0</v>
      </c>
      <c r="I8" s="15">
        <f>IF(D8&gt;Данные!F$51-Данные!G8,Данные!F$51-Данные!G8,D8)</f>
        <v>0</v>
      </c>
      <c r="J8" s="16">
        <f>I8*G8</f>
        <v>0</v>
      </c>
      <c r="K8" s="15" t="s">
        <v>37</v>
      </c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</row>
    <row r="9" spans="1:26" x14ac:dyDescent="0.25">
      <c r="A9" s="38"/>
      <c r="B9" s="74" t="s">
        <v>66</v>
      </c>
      <c r="C9" s="75"/>
      <c r="D9" s="26">
        <v>0</v>
      </c>
      <c r="E9" s="57">
        <f>MAX(0,MIN(Данные!J9,Данные!L9))</f>
        <v>159</v>
      </c>
      <c r="F9" s="18">
        <f>Данные!C9*kpt</f>
        <v>0.28499999999999998</v>
      </c>
      <c r="G9" s="18">
        <f>Данные!D9*kpt</f>
        <v>3.3249999999999997</v>
      </c>
      <c r="H9" s="18">
        <f t="shared" si="0"/>
        <v>0</v>
      </c>
      <c r="I9" s="17">
        <f>IF(D9&gt;Данные!F$51-Данные!G9,Данные!F$51-Данные!G9,D9)</f>
        <v>0</v>
      </c>
      <c r="J9" s="18">
        <f t="shared" ref="J9:J44" si="1">I9*G9</f>
        <v>0</v>
      </c>
      <c r="K9" s="17">
        <f>D9</f>
        <v>0</v>
      </c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</row>
    <row r="10" spans="1:26" x14ac:dyDescent="0.25">
      <c r="A10" s="38"/>
      <c r="B10" s="72" t="s">
        <v>67</v>
      </c>
      <c r="C10" s="73"/>
      <c r="D10" s="26">
        <v>0</v>
      </c>
      <c r="E10" s="53">
        <f>MAX(0,MIN(Данные!J10,Данные!L10))</f>
        <v>159</v>
      </c>
      <c r="F10" s="16">
        <f>Данные!C10*kpt</f>
        <v>0.28499999999999998</v>
      </c>
      <c r="G10" s="16">
        <f>Данные!D10*kpt</f>
        <v>3.3249999999999997</v>
      </c>
      <c r="H10" s="16">
        <f t="shared" si="0"/>
        <v>0</v>
      </c>
      <c r="I10" s="15">
        <f>IF(D10&gt;Данные!F$51-Данные!G10,Данные!F$51-Данные!G10,D10)</f>
        <v>0</v>
      </c>
      <c r="J10" s="16">
        <f t="shared" si="1"/>
        <v>0</v>
      </c>
      <c r="K10" s="15" t="s">
        <v>37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x14ac:dyDescent="0.25">
      <c r="A11" s="38"/>
      <c r="B11" s="74" t="s">
        <v>68</v>
      </c>
      <c r="C11" s="75"/>
      <c r="D11" s="26">
        <v>0</v>
      </c>
      <c r="E11" s="57">
        <f>MAX(0,MIN(Данные!J11,Данные!L11))</f>
        <v>159</v>
      </c>
      <c r="F11" s="18">
        <f>Данные!C11*kpt</f>
        <v>0.28499999999999998</v>
      </c>
      <c r="G11" s="18">
        <f>Данные!D11*kpt</f>
        <v>3.3249999999999997</v>
      </c>
      <c r="H11" s="18">
        <f t="shared" si="0"/>
        <v>0</v>
      </c>
      <c r="I11" s="17">
        <f>IF(D11&gt;Данные!F$51-Данные!G11,Данные!F$51-Данные!G11,D11)</f>
        <v>0</v>
      </c>
      <c r="J11" s="18">
        <f t="shared" si="1"/>
        <v>0</v>
      </c>
      <c r="K11" s="17">
        <f>D11</f>
        <v>0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spans="1:26" x14ac:dyDescent="0.25">
      <c r="A12" s="38"/>
      <c r="B12" s="72" t="s">
        <v>69</v>
      </c>
      <c r="C12" s="73"/>
      <c r="D12" s="26">
        <v>0</v>
      </c>
      <c r="E12" s="53">
        <f>MAX(0,MIN(Данные!J12,Данные!L12))</f>
        <v>159</v>
      </c>
      <c r="F12" s="16">
        <f>Данные!C12*kpt</f>
        <v>0.28499999999999998</v>
      </c>
      <c r="G12" s="16">
        <f>Данные!D12*kpt</f>
        <v>3.3249999999999997</v>
      </c>
      <c r="H12" s="16">
        <f t="shared" si="0"/>
        <v>0</v>
      </c>
      <c r="I12" s="15">
        <f>IF(D12&gt;Данные!F$51-Данные!G12,Данные!F$51-Данные!G12,D12)</f>
        <v>0</v>
      </c>
      <c r="J12" s="16">
        <f t="shared" si="1"/>
        <v>0</v>
      </c>
      <c r="K12" s="15" t="s">
        <v>37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spans="1:26" x14ac:dyDescent="0.25">
      <c r="A13" s="38"/>
      <c r="B13" s="74" t="s">
        <v>70</v>
      </c>
      <c r="C13" s="75"/>
      <c r="D13" s="26">
        <v>0</v>
      </c>
      <c r="E13" s="57">
        <f>MAX(0,MIN(Данные!J13,Данные!L13))</f>
        <v>159</v>
      </c>
      <c r="F13" s="18">
        <f>Данные!C13*kpt</f>
        <v>0.28499999999999998</v>
      </c>
      <c r="G13" s="18">
        <f>Данные!D13*kpt</f>
        <v>3.3249999999999997</v>
      </c>
      <c r="H13" s="18">
        <f t="shared" si="0"/>
        <v>0</v>
      </c>
      <c r="I13" s="17">
        <f>IF(D13&gt;Данные!F$51-Данные!G13,Данные!F$51-Данные!G13,D13)</f>
        <v>0</v>
      </c>
      <c r="J13" s="18">
        <f t="shared" si="1"/>
        <v>0</v>
      </c>
      <c r="K13" s="17">
        <f>D13</f>
        <v>0</v>
      </c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</row>
    <row r="14" spans="1:26" x14ac:dyDescent="0.25">
      <c r="A14" s="38"/>
      <c r="B14" s="72" t="s">
        <v>71</v>
      </c>
      <c r="C14" s="73"/>
      <c r="D14" s="26">
        <v>0</v>
      </c>
      <c r="E14" s="53">
        <f>MAX(0,MIN(Данные!J14,Данные!L14))</f>
        <v>159</v>
      </c>
      <c r="F14" s="16">
        <f>Данные!C14*kpt</f>
        <v>0.95</v>
      </c>
      <c r="G14" s="16">
        <f>Данные!D14*kpt</f>
        <v>3.8</v>
      </c>
      <c r="H14" s="16">
        <f t="shared" si="0"/>
        <v>0</v>
      </c>
      <c r="I14" s="15">
        <f>IF(D14&gt;Данные!F$51-Данные!G14,Данные!F$51-Данные!G14,D14)</f>
        <v>0</v>
      </c>
      <c r="J14" s="16">
        <f t="shared" si="1"/>
        <v>0</v>
      </c>
      <c r="K14" s="15">
        <f>D14</f>
        <v>0</v>
      </c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</row>
    <row r="15" spans="1:26" x14ac:dyDescent="0.25">
      <c r="A15" s="38"/>
      <c r="B15" s="11"/>
      <c r="C15" s="12" t="s">
        <v>45</v>
      </c>
      <c r="D15" s="19"/>
      <c r="E15" s="19"/>
      <c r="F15" s="19"/>
      <c r="G15" s="19"/>
      <c r="H15" s="19"/>
      <c r="I15" s="12"/>
      <c r="J15" s="12"/>
      <c r="K15" s="20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</row>
    <row r="16" spans="1:26" x14ac:dyDescent="0.25">
      <c r="A16" s="38"/>
      <c r="B16" s="21" t="s">
        <v>47</v>
      </c>
      <c r="C16" s="21"/>
      <c r="D16" s="26">
        <v>0</v>
      </c>
      <c r="E16" s="53">
        <f>MAX(0,MIN(Данные!J16,Данные!L16))</f>
        <v>159</v>
      </c>
      <c r="F16" s="16">
        <f>Данные!C16*kpt</f>
        <v>0.28499999999999998</v>
      </c>
      <c r="G16" s="16">
        <f>Данные!D16*kpt</f>
        <v>3.3249999999999997</v>
      </c>
      <c r="H16" s="16">
        <f t="shared" ref="H16:H21" si="2">D16*F16</f>
        <v>0</v>
      </c>
      <c r="I16" s="15">
        <f>IF(D16&gt;Данные!F$51-Данные!G16,Данные!F$51-Данные!G16,D16)</f>
        <v>0</v>
      </c>
      <c r="J16" s="16">
        <f t="shared" si="1"/>
        <v>0</v>
      </c>
      <c r="K16" s="15">
        <f t="shared" ref="K16:K21" si="3">D16</f>
        <v>0</v>
      </c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</row>
    <row r="17" spans="1:26" x14ac:dyDescent="0.25">
      <c r="A17" s="38"/>
      <c r="B17" s="22" t="s">
        <v>48</v>
      </c>
      <c r="C17" s="22"/>
      <c r="D17" s="26">
        <v>0</v>
      </c>
      <c r="E17" s="57">
        <f>MAX(0,MIN(Данные!J17,Данные!L17))</f>
        <v>159</v>
      </c>
      <c r="F17" s="18">
        <f>Данные!C17*kpt</f>
        <v>0.28499999999999998</v>
      </c>
      <c r="G17" s="18">
        <f>Данные!D17*kpt</f>
        <v>3.3249999999999997</v>
      </c>
      <c r="H17" s="18">
        <f t="shared" si="2"/>
        <v>0</v>
      </c>
      <c r="I17" s="17">
        <f>IF(D17&gt;Данные!F$51-Данные!G17,Данные!F$51-Данные!G17,D17)</f>
        <v>0</v>
      </c>
      <c r="J17" s="18">
        <f t="shared" si="1"/>
        <v>0</v>
      </c>
      <c r="K17" s="17">
        <f t="shared" si="3"/>
        <v>0</v>
      </c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</row>
    <row r="18" spans="1:26" x14ac:dyDescent="0.25">
      <c r="A18" s="38"/>
      <c r="B18" s="21" t="s">
        <v>46</v>
      </c>
      <c r="C18" s="21"/>
      <c r="D18" s="26">
        <v>0</v>
      </c>
      <c r="E18" s="53">
        <f>MAX(0,MIN(Данные!J18,Данные!L18))</f>
        <v>159</v>
      </c>
      <c r="F18" s="16">
        <f>Данные!C18*kpt</f>
        <v>0.28499999999999998</v>
      </c>
      <c r="G18" s="16">
        <f>Данные!D18*kpt</f>
        <v>3.3249999999999997</v>
      </c>
      <c r="H18" s="16">
        <f t="shared" si="2"/>
        <v>0</v>
      </c>
      <c r="I18" s="15">
        <f>IF(D18&gt;Данные!F$51-Данные!G18,Данные!F$51-Данные!G18,D18)</f>
        <v>0</v>
      </c>
      <c r="J18" s="16">
        <f t="shared" si="1"/>
        <v>0</v>
      </c>
      <c r="K18" s="15">
        <f t="shared" si="3"/>
        <v>0</v>
      </c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</row>
    <row r="19" spans="1:26" x14ac:dyDescent="0.25">
      <c r="A19" s="38"/>
      <c r="B19" s="22" t="s">
        <v>49</v>
      </c>
      <c r="C19" s="22"/>
      <c r="D19" s="26">
        <v>0</v>
      </c>
      <c r="E19" s="57">
        <f>MAX(0,MIN(Данные!J19,Данные!L19))</f>
        <v>159</v>
      </c>
      <c r="F19" s="18">
        <f>Данные!C19*kpt</f>
        <v>0.28499999999999998</v>
      </c>
      <c r="G19" s="18">
        <f>Данные!D19*kpt</f>
        <v>3.3249999999999997</v>
      </c>
      <c r="H19" s="18">
        <f t="shared" si="2"/>
        <v>0</v>
      </c>
      <c r="I19" s="17">
        <f>IF(D19&gt;Данные!F$51-Данные!G19,Данные!F$51-Данные!G19,D19)</f>
        <v>0</v>
      </c>
      <c r="J19" s="18">
        <f t="shared" si="1"/>
        <v>0</v>
      </c>
      <c r="K19" s="17">
        <f t="shared" si="3"/>
        <v>0</v>
      </c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</row>
    <row r="20" spans="1:26" x14ac:dyDescent="0.25">
      <c r="A20" s="38"/>
      <c r="B20" s="21" t="s">
        <v>50</v>
      </c>
      <c r="C20" s="21"/>
      <c r="D20" s="26">
        <v>0</v>
      </c>
      <c r="E20" s="53">
        <f>MAX(0,MIN(Данные!J20,Данные!L20))</f>
        <v>159</v>
      </c>
      <c r="F20" s="16">
        <f>Данные!C20*kpt</f>
        <v>0.28499999999999998</v>
      </c>
      <c r="G20" s="16">
        <f>Данные!D20*kpt</f>
        <v>3.3249999999999997</v>
      </c>
      <c r="H20" s="16">
        <f t="shared" si="2"/>
        <v>0</v>
      </c>
      <c r="I20" s="15">
        <f>IF(D20&gt;Данные!F$51-Данные!G20,Данные!F$51-Данные!G20,D20)</f>
        <v>0</v>
      </c>
      <c r="J20" s="16">
        <f t="shared" si="1"/>
        <v>0</v>
      </c>
      <c r="K20" s="15">
        <f t="shared" si="3"/>
        <v>0</v>
      </c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</row>
    <row r="21" spans="1:26" x14ac:dyDescent="0.25">
      <c r="A21" s="38"/>
      <c r="B21" s="22" t="s">
        <v>51</v>
      </c>
      <c r="C21" s="22"/>
      <c r="D21" s="26">
        <v>0</v>
      </c>
      <c r="E21" s="57">
        <f>MAX(0,MIN(Данные!J21,Данные!L21))</f>
        <v>159</v>
      </c>
      <c r="F21" s="18">
        <f>Данные!C21*kpt</f>
        <v>0.28499999999999998</v>
      </c>
      <c r="G21" s="18">
        <f>Данные!D21*kpt</f>
        <v>3.3249999999999997</v>
      </c>
      <c r="H21" s="18">
        <f t="shared" si="2"/>
        <v>0</v>
      </c>
      <c r="I21" s="17">
        <f>IF(D21&gt;Данные!F$51-Данные!G21,Данные!F$51-Данные!G21,D21)</f>
        <v>0</v>
      </c>
      <c r="J21" s="18">
        <f t="shared" si="1"/>
        <v>0</v>
      </c>
      <c r="K21" s="17">
        <f t="shared" si="3"/>
        <v>0</v>
      </c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</row>
    <row r="22" spans="1:26" x14ac:dyDescent="0.25">
      <c r="A22" s="38"/>
      <c r="B22" s="11"/>
      <c r="C22" s="12" t="s">
        <v>11</v>
      </c>
      <c r="D22" s="19"/>
      <c r="E22" s="19"/>
      <c r="F22" s="19"/>
      <c r="G22" s="19"/>
      <c r="H22" s="19"/>
      <c r="I22" s="12"/>
      <c r="J22" s="12"/>
      <c r="K22" s="20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</row>
    <row r="23" spans="1:26" x14ac:dyDescent="0.25">
      <c r="A23" s="38"/>
      <c r="B23" s="21" t="s">
        <v>64</v>
      </c>
      <c r="C23" s="21"/>
      <c r="D23" s="26">
        <v>0</v>
      </c>
      <c r="E23" s="53">
        <f>MAX(0,MIN(Данные!J23,Данные!L23))</f>
        <v>159</v>
      </c>
      <c r="F23" s="16">
        <f>Данные!C23*kpt</f>
        <v>0.8075</v>
      </c>
      <c r="G23" s="16">
        <f>Данные!D23*kpt</f>
        <v>1.0449999999999999</v>
      </c>
      <c r="H23" s="16">
        <f t="shared" ref="H23:H30" si="4">D23*F23</f>
        <v>0</v>
      </c>
      <c r="I23" s="15">
        <f>IF(D23&gt;Данные!F$51-Данные!G23,Данные!F$51-Данные!G23,D23)</f>
        <v>0</v>
      </c>
      <c r="J23" s="16">
        <f t="shared" si="1"/>
        <v>0</v>
      </c>
      <c r="K23" s="26">
        <v>0</v>
      </c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</row>
    <row r="24" spans="1:26" x14ac:dyDescent="0.25">
      <c r="A24" s="38"/>
      <c r="B24" s="22" t="s">
        <v>77</v>
      </c>
      <c r="C24" s="22"/>
      <c r="D24" s="26">
        <v>0</v>
      </c>
      <c r="E24" s="57">
        <f>MAX(0,MIN(Данные!J24,Данные!L24))</f>
        <v>159</v>
      </c>
      <c r="F24" s="18">
        <f>Данные!C24*kpt</f>
        <v>0.8075</v>
      </c>
      <c r="G24" s="18">
        <f>Данные!D24*kpt</f>
        <v>1.0449999999999999</v>
      </c>
      <c r="H24" s="18">
        <f t="shared" si="4"/>
        <v>0</v>
      </c>
      <c r="I24" s="17">
        <f>IF(D24&gt;Данные!F$51-Данные!G24,Данные!F$51-Данные!G24,D24)</f>
        <v>0</v>
      </c>
      <c r="J24" s="18">
        <f t="shared" si="1"/>
        <v>0</v>
      </c>
      <c r="K24" s="26">
        <v>0</v>
      </c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</row>
    <row r="25" spans="1:26" x14ac:dyDescent="0.25">
      <c r="A25" s="38"/>
      <c r="B25" s="21" t="s">
        <v>76</v>
      </c>
      <c r="C25" s="21"/>
      <c r="D25" s="26">
        <v>0</v>
      </c>
      <c r="E25" s="53">
        <f>MAX(0,MIN(Данные!J25,Данные!L25))</f>
        <v>79</v>
      </c>
      <c r="F25" s="16">
        <f>Данные!C25*kpt</f>
        <v>0.8075</v>
      </c>
      <c r="G25" s="16">
        <f>Данные!D25*kpt</f>
        <v>1.0449999999999999</v>
      </c>
      <c r="H25" s="16">
        <f t="shared" si="4"/>
        <v>0</v>
      </c>
      <c r="I25" s="15">
        <f>IF(D25*2&gt;Данные!F$51-Данные!G25,Данные!F$51-Данные!G25,D25*2)</f>
        <v>0</v>
      </c>
      <c r="J25" s="16">
        <f t="shared" si="1"/>
        <v>0</v>
      </c>
      <c r="K25" s="26">
        <v>0</v>
      </c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</row>
    <row r="26" spans="1:26" x14ac:dyDescent="0.25">
      <c r="A26" s="38"/>
      <c r="B26" s="22" t="s">
        <v>75</v>
      </c>
      <c r="C26" s="22"/>
      <c r="D26" s="26">
        <v>0</v>
      </c>
      <c r="E26" s="57">
        <f>MAX(0,MIN(Данные!J26,Данные!L26))</f>
        <v>53</v>
      </c>
      <c r="F26" s="18">
        <f>Данные!C26*kpt</f>
        <v>0.8075</v>
      </c>
      <c r="G26" s="18">
        <f>Данные!D26*kpt</f>
        <v>1.0449999999999999</v>
      </c>
      <c r="H26" s="18">
        <f t="shared" si="4"/>
        <v>0</v>
      </c>
      <c r="I26" s="17">
        <f>IF(D26*3&gt;Данные!F$51-Данные!G26,Данные!F$51-Данные!G26,D26*3)</f>
        <v>0</v>
      </c>
      <c r="J26" s="18">
        <f t="shared" si="1"/>
        <v>0</v>
      </c>
      <c r="K26" s="26">
        <v>0</v>
      </c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</row>
    <row r="27" spans="1:26" x14ac:dyDescent="0.25">
      <c r="A27" s="38"/>
      <c r="B27" s="21" t="s">
        <v>73</v>
      </c>
      <c r="C27" s="21"/>
      <c r="D27" s="26">
        <v>0</v>
      </c>
      <c r="E27" s="53">
        <f>MAX(0,MIN(Данные!J27,Данные!L27))</f>
        <v>159</v>
      </c>
      <c r="F27" s="16">
        <f>Данные!C27*kpt</f>
        <v>0.71249999999999991</v>
      </c>
      <c r="G27" s="16">
        <f>Данные!D27*kpt</f>
        <v>1.0449999999999999</v>
      </c>
      <c r="H27" s="16">
        <f t="shared" si="4"/>
        <v>0</v>
      </c>
      <c r="I27" s="15">
        <f>IF(D27&gt;Данные!F$51-Данные!G27,Данные!F$51-Данные!G27,D27)</f>
        <v>0</v>
      </c>
      <c r="J27" s="16">
        <f t="shared" si="1"/>
        <v>0</v>
      </c>
      <c r="K27" s="26">
        <v>0</v>
      </c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</row>
    <row r="28" spans="1:26" x14ac:dyDescent="0.25">
      <c r="A28" s="38"/>
      <c r="B28" s="22" t="s">
        <v>74</v>
      </c>
      <c r="C28" s="22"/>
      <c r="D28" s="26">
        <v>0</v>
      </c>
      <c r="E28" s="57">
        <f>MAX(0,MIN(Данные!J28,Данные!L28))</f>
        <v>159</v>
      </c>
      <c r="F28" s="18">
        <f>Данные!C28*kpt</f>
        <v>1.0449999999999999</v>
      </c>
      <c r="G28" s="18">
        <f>Данные!D28*kpt</f>
        <v>1.0449999999999999</v>
      </c>
      <c r="H28" s="18">
        <f t="shared" si="4"/>
        <v>0</v>
      </c>
      <c r="I28" s="17">
        <f>IF(D28&gt;Данные!F$51-Данные!G28,Данные!F$51-Данные!G28,D28)</f>
        <v>0</v>
      </c>
      <c r="J28" s="18">
        <f t="shared" si="1"/>
        <v>0</v>
      </c>
      <c r="K28" s="26">
        <v>0</v>
      </c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</row>
    <row r="29" spans="1:26" x14ac:dyDescent="0.25">
      <c r="A29" s="38"/>
      <c r="B29" s="21" t="s">
        <v>72</v>
      </c>
      <c r="C29" s="21"/>
      <c r="D29" s="26">
        <v>0</v>
      </c>
      <c r="E29" s="53">
        <f>MAX(0,MIN(Данные!J29,Данные!L29))</f>
        <v>31</v>
      </c>
      <c r="F29" s="16">
        <f>Данные!C29*kpt</f>
        <v>2.8499999999999996</v>
      </c>
      <c r="G29" s="16">
        <f>Данные!D29*kpt</f>
        <v>0</v>
      </c>
      <c r="H29" s="16">
        <f t="shared" si="4"/>
        <v>0</v>
      </c>
      <c r="I29" s="15">
        <f>IF(D29&gt;Данные!F$51,Данные!F$51-Данные!G29,Расчет!D29)</f>
        <v>0</v>
      </c>
      <c r="J29" s="16">
        <f t="shared" si="1"/>
        <v>0</v>
      </c>
      <c r="K29" s="15" t="s">
        <v>37</v>
      </c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</row>
    <row r="30" spans="1:26" x14ac:dyDescent="0.25">
      <c r="A30" s="38"/>
      <c r="B30" s="22" t="s">
        <v>52</v>
      </c>
      <c r="C30" s="22"/>
      <c r="D30" s="26">
        <v>0</v>
      </c>
      <c r="E30" s="57">
        <f>MAX(0,MIN(Данные!J30,Данные!L30))</f>
        <v>159</v>
      </c>
      <c r="F30" s="18">
        <f>Данные!C30*kpt</f>
        <v>0.61749999999999994</v>
      </c>
      <c r="G30" s="18">
        <f>Данные!D30*kpt</f>
        <v>0</v>
      </c>
      <c r="H30" s="18">
        <f t="shared" si="4"/>
        <v>0</v>
      </c>
      <c r="I30" s="17">
        <f>IF(D30&gt;Данные!F$51,Данные!F$51-Данные!G30,Расчет!D30)</f>
        <v>0</v>
      </c>
      <c r="J30" s="18">
        <f t="shared" si="1"/>
        <v>0</v>
      </c>
      <c r="K30" s="17">
        <f t="shared" ref="K30" si="5">D30</f>
        <v>0</v>
      </c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</row>
    <row r="31" spans="1:26" x14ac:dyDescent="0.25">
      <c r="A31" s="38"/>
      <c r="B31" s="11"/>
      <c r="C31" s="12" t="s">
        <v>12</v>
      </c>
      <c r="D31" s="19"/>
      <c r="E31" s="19"/>
      <c r="F31" s="19"/>
      <c r="G31" s="19"/>
      <c r="H31" s="19"/>
      <c r="I31" s="23"/>
      <c r="J31" s="20"/>
      <c r="K31" s="20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</row>
    <row r="32" spans="1:26" x14ac:dyDescent="0.25">
      <c r="A32" s="38"/>
      <c r="B32" s="21" t="s">
        <v>53</v>
      </c>
      <c r="C32" s="21"/>
      <c r="D32" s="26">
        <v>0</v>
      </c>
      <c r="E32" s="53">
        <f>MAX(0,MIN(Данные!J32,Данные!L32))</f>
        <v>52</v>
      </c>
      <c r="F32" s="16">
        <f>Данные!C32*kpt</f>
        <v>0.28499999999999998</v>
      </c>
      <c r="G32" s="16">
        <f>Данные!D32*kpt</f>
        <v>3.8</v>
      </c>
      <c r="H32" s="16">
        <f t="shared" ref="H32:H42" si="6">D32*F32</f>
        <v>0</v>
      </c>
      <c r="I32" s="15">
        <f t="shared" ref="I32:I42" si="7">D32</f>
        <v>0</v>
      </c>
      <c r="J32" s="16">
        <f t="shared" si="1"/>
        <v>0</v>
      </c>
      <c r="K32" s="15">
        <f t="shared" ref="K32:K42" si="8">D32</f>
        <v>0</v>
      </c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</row>
    <row r="33" spans="1:26" x14ac:dyDescent="0.25">
      <c r="A33" s="38"/>
      <c r="B33" s="22" t="s">
        <v>54</v>
      </c>
      <c r="C33" s="22"/>
      <c r="D33" s="26">
        <v>0</v>
      </c>
      <c r="E33" s="57">
        <f>MAX(0,MIN(Данные!J33,Данные!L33))</f>
        <v>67</v>
      </c>
      <c r="F33" s="18">
        <f>Данные!C33*kpt</f>
        <v>0.28499999999999998</v>
      </c>
      <c r="G33" s="18">
        <f>Данные!D33*kpt</f>
        <v>2.8499999999999996</v>
      </c>
      <c r="H33" s="18">
        <f t="shared" si="6"/>
        <v>0</v>
      </c>
      <c r="I33" s="17">
        <f t="shared" si="7"/>
        <v>0</v>
      </c>
      <c r="J33" s="18">
        <f t="shared" si="1"/>
        <v>0</v>
      </c>
      <c r="K33" s="17">
        <f t="shared" si="8"/>
        <v>0</v>
      </c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</row>
    <row r="34" spans="1:26" x14ac:dyDescent="0.25">
      <c r="A34" s="38"/>
      <c r="B34" s="21" t="s">
        <v>55</v>
      </c>
      <c r="C34" s="21"/>
      <c r="D34" s="26">
        <v>0</v>
      </c>
      <c r="E34" s="53">
        <f>MAX(0,MIN(Данные!J34,Данные!L34))</f>
        <v>159</v>
      </c>
      <c r="F34" s="16">
        <f>Данные!C34*kpt</f>
        <v>0.28499999999999998</v>
      </c>
      <c r="G34" s="16">
        <f>Данные!D34*kpt</f>
        <v>0.95</v>
      </c>
      <c r="H34" s="16">
        <f t="shared" si="6"/>
        <v>0</v>
      </c>
      <c r="I34" s="15">
        <f t="shared" si="7"/>
        <v>0</v>
      </c>
      <c r="J34" s="16">
        <f t="shared" si="1"/>
        <v>0</v>
      </c>
      <c r="K34" s="15">
        <f t="shared" si="8"/>
        <v>0</v>
      </c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</row>
    <row r="35" spans="1:26" x14ac:dyDescent="0.25">
      <c r="A35" s="38"/>
      <c r="B35" s="22" t="s">
        <v>56</v>
      </c>
      <c r="C35" s="22"/>
      <c r="D35" s="26">
        <v>0</v>
      </c>
      <c r="E35" s="57">
        <f>MAX(0,MIN(Данные!J35,Данные!L35))</f>
        <v>37</v>
      </c>
      <c r="F35" s="18">
        <f>Данные!C35*kpt</f>
        <v>0.28499999999999998</v>
      </c>
      <c r="G35" s="18">
        <f>Данные!D35*kpt</f>
        <v>5.415</v>
      </c>
      <c r="H35" s="18">
        <f t="shared" si="6"/>
        <v>0</v>
      </c>
      <c r="I35" s="17">
        <f t="shared" si="7"/>
        <v>0</v>
      </c>
      <c r="J35" s="18">
        <f t="shared" si="1"/>
        <v>0</v>
      </c>
      <c r="K35" s="17">
        <f t="shared" si="8"/>
        <v>0</v>
      </c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</row>
    <row r="36" spans="1:26" x14ac:dyDescent="0.25">
      <c r="A36" s="38"/>
      <c r="B36" s="21" t="s">
        <v>57</v>
      </c>
      <c r="C36" s="21"/>
      <c r="D36" s="26">
        <v>0</v>
      </c>
      <c r="E36" s="53">
        <f>MAX(0,MIN(Данные!J36,Данные!L36))</f>
        <v>44</v>
      </c>
      <c r="F36" s="16">
        <f>Данные!C36*kpt</f>
        <v>0.28499999999999998</v>
      </c>
      <c r="G36" s="16">
        <f>Данные!D36*kpt</f>
        <v>4.4649999999999999</v>
      </c>
      <c r="H36" s="16">
        <f t="shared" si="6"/>
        <v>0</v>
      </c>
      <c r="I36" s="15">
        <f t="shared" si="7"/>
        <v>0</v>
      </c>
      <c r="J36" s="16">
        <f t="shared" si="1"/>
        <v>0</v>
      </c>
      <c r="K36" s="15">
        <f t="shared" si="8"/>
        <v>0</v>
      </c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</row>
    <row r="37" spans="1:26" x14ac:dyDescent="0.25">
      <c r="A37" s="38"/>
      <c r="B37" s="22" t="s">
        <v>58</v>
      </c>
      <c r="C37" s="22"/>
      <c r="D37" s="26">
        <v>0</v>
      </c>
      <c r="E37" s="57">
        <f>MAX(0,MIN(Данные!J37,Данные!L37))</f>
        <v>28</v>
      </c>
      <c r="F37" s="18">
        <f>Данные!C37*kpt</f>
        <v>0.28499999999999998</v>
      </c>
      <c r="G37" s="18">
        <f>Данные!D37*kpt</f>
        <v>7.3149999999999995</v>
      </c>
      <c r="H37" s="18">
        <f t="shared" si="6"/>
        <v>0</v>
      </c>
      <c r="I37" s="17">
        <f t="shared" si="7"/>
        <v>0</v>
      </c>
      <c r="J37" s="18">
        <f t="shared" si="1"/>
        <v>0</v>
      </c>
      <c r="K37" s="17">
        <f t="shared" si="8"/>
        <v>0</v>
      </c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</row>
    <row r="38" spans="1:26" x14ac:dyDescent="0.25">
      <c r="A38" s="38"/>
      <c r="B38" s="21" t="s">
        <v>59</v>
      </c>
      <c r="C38" s="21"/>
      <c r="D38" s="26">
        <v>0</v>
      </c>
      <c r="E38" s="53">
        <f>MAX(0,MIN(Данные!J38,Данные!L38))</f>
        <v>32</v>
      </c>
      <c r="F38" s="16">
        <f>Данные!C38*kpt</f>
        <v>0.28499999999999998</v>
      </c>
      <c r="G38" s="16">
        <f>Данные!D38*kpt</f>
        <v>6.3650000000000002</v>
      </c>
      <c r="H38" s="16">
        <f t="shared" si="6"/>
        <v>0</v>
      </c>
      <c r="I38" s="15">
        <f t="shared" si="7"/>
        <v>0</v>
      </c>
      <c r="J38" s="16">
        <f t="shared" si="1"/>
        <v>0</v>
      </c>
      <c r="K38" s="15">
        <f t="shared" si="8"/>
        <v>0</v>
      </c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</row>
    <row r="39" spans="1:26" x14ac:dyDescent="0.25">
      <c r="A39" s="38"/>
      <c r="B39" s="22" t="s">
        <v>60</v>
      </c>
      <c r="C39" s="22"/>
      <c r="D39" s="26">
        <v>0</v>
      </c>
      <c r="E39" s="57">
        <f>MAX(0,MIN(Данные!J39,Данные!L39))</f>
        <v>159</v>
      </c>
      <c r="F39" s="18">
        <f>Данные!C39*kpt</f>
        <v>0.28499999999999998</v>
      </c>
      <c r="G39" s="18">
        <f>Данные!D39*kpt</f>
        <v>0.66499999999999992</v>
      </c>
      <c r="H39" s="18">
        <f t="shared" si="6"/>
        <v>0</v>
      </c>
      <c r="I39" s="17">
        <f t="shared" si="7"/>
        <v>0</v>
      </c>
      <c r="J39" s="18">
        <f t="shared" si="1"/>
        <v>0</v>
      </c>
      <c r="K39" s="17">
        <f t="shared" si="8"/>
        <v>0</v>
      </c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</row>
    <row r="40" spans="1:26" x14ac:dyDescent="0.25">
      <c r="A40" s="38"/>
      <c r="B40" s="21" t="s">
        <v>61</v>
      </c>
      <c r="C40" s="21"/>
      <c r="D40" s="26">
        <v>0</v>
      </c>
      <c r="E40" s="53">
        <f>MAX(0,MIN(Данные!J40,Данные!L40))</f>
        <v>44</v>
      </c>
      <c r="F40" s="16">
        <f>Данные!C40*kpt</f>
        <v>0.28499999999999998</v>
      </c>
      <c r="G40" s="16">
        <f>Данные!D40*kpt</f>
        <v>4.4649999999999999</v>
      </c>
      <c r="H40" s="16">
        <f t="shared" si="6"/>
        <v>0</v>
      </c>
      <c r="I40" s="15">
        <f t="shared" si="7"/>
        <v>0</v>
      </c>
      <c r="J40" s="16">
        <f t="shared" si="1"/>
        <v>0</v>
      </c>
      <c r="K40" s="15">
        <f t="shared" si="8"/>
        <v>0</v>
      </c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</row>
    <row r="41" spans="1:26" x14ac:dyDescent="0.25">
      <c r="A41" s="38"/>
      <c r="B41" s="22" t="s">
        <v>62</v>
      </c>
      <c r="C41" s="22"/>
      <c r="D41" s="26">
        <v>0</v>
      </c>
      <c r="E41" s="57">
        <f>MAX(0,MIN(Данные!J41,Данные!L41))</f>
        <v>74</v>
      </c>
      <c r="F41" s="18">
        <f>Данные!C41*kpt</f>
        <v>0.28499999999999998</v>
      </c>
      <c r="G41" s="18">
        <f>Данные!D41*kpt</f>
        <v>2.5649999999999999</v>
      </c>
      <c r="H41" s="18">
        <f t="shared" si="6"/>
        <v>0</v>
      </c>
      <c r="I41" s="17">
        <f t="shared" si="7"/>
        <v>0</v>
      </c>
      <c r="J41" s="18">
        <f t="shared" si="1"/>
        <v>0</v>
      </c>
      <c r="K41" s="17">
        <f t="shared" si="8"/>
        <v>0</v>
      </c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</row>
    <row r="42" spans="1:26" x14ac:dyDescent="0.25">
      <c r="A42" s="38"/>
      <c r="B42" s="21" t="s">
        <v>63</v>
      </c>
      <c r="C42" s="21"/>
      <c r="D42" s="26">
        <v>0</v>
      </c>
      <c r="E42" s="53">
        <f>MAX(0,MIN(Данные!J42,Данные!L42))</f>
        <v>44</v>
      </c>
      <c r="F42" s="16">
        <f>Данные!C42*kpt</f>
        <v>4.75</v>
      </c>
      <c r="G42" s="16">
        <f>Данные!D42*kpt</f>
        <v>0</v>
      </c>
      <c r="H42" s="16">
        <f t="shared" si="6"/>
        <v>0</v>
      </c>
      <c r="I42" s="15">
        <f t="shared" si="7"/>
        <v>0</v>
      </c>
      <c r="J42" s="16">
        <f t="shared" si="1"/>
        <v>0</v>
      </c>
      <c r="K42" s="15">
        <f t="shared" si="8"/>
        <v>0</v>
      </c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</row>
    <row r="43" spans="1:26" x14ac:dyDescent="0.25">
      <c r="A43" s="38"/>
      <c r="B43" s="11"/>
      <c r="C43" s="12" t="s">
        <v>78</v>
      </c>
      <c r="D43" s="19"/>
      <c r="E43" s="19"/>
      <c r="F43" s="19"/>
      <c r="G43" s="19"/>
      <c r="H43" s="19"/>
      <c r="I43" s="23"/>
      <c r="J43" s="12"/>
      <c r="K43" s="20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</row>
    <row r="44" spans="1:26" x14ac:dyDescent="0.25">
      <c r="A44" s="38"/>
      <c r="B44" s="24" t="s">
        <v>79</v>
      </c>
      <c r="C44" s="25"/>
      <c r="D44" s="26">
        <v>0</v>
      </c>
      <c r="E44" s="53">
        <f>MAX(0,MIN(Данные!J44,Данные!L44))</f>
        <v>0</v>
      </c>
      <c r="F44" s="16">
        <f>Данные!C44*kpt</f>
        <v>9.5000000000000001E-2</v>
      </c>
      <c r="G44" s="16">
        <f>Данные!D44*kpt</f>
        <v>1.9</v>
      </c>
      <c r="H44" s="16">
        <f>D44*F44</f>
        <v>0</v>
      </c>
      <c r="I44" s="15">
        <f>IF(D44&gt;SUM(I8:I14),SUM(I8:I14),D44)</f>
        <v>0</v>
      </c>
      <c r="J44" s="16">
        <f t="shared" si="1"/>
        <v>0</v>
      </c>
      <c r="K44" s="15" t="s">
        <v>37</v>
      </c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</row>
    <row r="45" spans="1:26" x14ac:dyDescent="0.25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</row>
    <row r="46" spans="1:26" x14ac:dyDescent="0.25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</row>
    <row r="47" spans="1:26" x14ac:dyDescent="0.25">
      <c r="A47" s="38"/>
      <c r="B47" s="38"/>
      <c r="C47" s="40" t="s">
        <v>13</v>
      </c>
      <c r="D47" s="40"/>
      <c r="E47" s="38"/>
      <c r="F47" s="38"/>
      <c r="G47" s="38"/>
      <c r="H47" s="40" t="s">
        <v>14</v>
      </c>
      <c r="I47" s="40"/>
      <c r="J47" s="40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</row>
    <row r="48" spans="1:26" x14ac:dyDescent="0.25">
      <c r="A48" s="38"/>
      <c r="B48" s="38"/>
      <c r="C48" s="27" t="s">
        <v>15</v>
      </c>
      <c r="D48" s="28">
        <v>0.87</v>
      </c>
      <c r="E48" s="38"/>
      <c r="F48" s="38"/>
      <c r="G48" s="38"/>
      <c r="H48" s="80" t="s">
        <v>38</v>
      </c>
      <c r="I48" s="81"/>
      <c r="J48" s="82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</row>
    <row r="49" spans="1:26" x14ac:dyDescent="0.25">
      <c r="A49" s="38"/>
      <c r="B49" s="38"/>
      <c r="C49" s="22" t="s">
        <v>16</v>
      </c>
      <c r="D49" s="29">
        <v>50</v>
      </c>
      <c r="E49" s="38"/>
      <c r="F49" s="38"/>
      <c r="G49" s="38"/>
      <c r="H49" s="80" t="s">
        <v>39</v>
      </c>
      <c r="I49" s="81"/>
      <c r="J49" s="82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</row>
    <row r="50" spans="1:26" x14ac:dyDescent="0.25">
      <c r="A50" s="38"/>
      <c r="B50" s="38"/>
      <c r="C50" s="38"/>
      <c r="D50" s="41"/>
      <c r="E50" s="38"/>
      <c r="F50" s="38"/>
      <c r="G50" s="38"/>
      <c r="H50" s="80" t="s">
        <v>40</v>
      </c>
      <c r="I50" s="81"/>
      <c r="J50" s="82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</row>
    <row r="51" spans="1:26" x14ac:dyDescent="0.25">
      <c r="A51" s="38"/>
      <c r="B51" s="38"/>
      <c r="C51" s="40" t="s">
        <v>17</v>
      </c>
      <c r="D51" s="42"/>
      <c r="E51" s="38"/>
      <c r="F51" s="38"/>
      <c r="G51" s="38"/>
      <c r="H51" s="80" t="s">
        <v>42</v>
      </c>
      <c r="I51" s="81"/>
      <c r="J51" s="82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</row>
    <row r="52" spans="1:26" x14ac:dyDescent="0.25">
      <c r="A52" s="38"/>
      <c r="B52" s="38"/>
      <c r="C52" s="27" t="s">
        <v>18</v>
      </c>
      <c r="D52" s="30">
        <f>SUM(H8:H14,H16:H21,H23:H30,H32:H42,H44)</f>
        <v>0</v>
      </c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</row>
    <row r="53" spans="1:26" x14ac:dyDescent="0.25">
      <c r="A53" s="38"/>
      <c r="B53" s="38"/>
      <c r="C53" s="22" t="s">
        <v>19</v>
      </c>
      <c r="D53" s="31">
        <f>D52+SUM(J8:J14,J16:J21,J23:J30,J32:J42,J44)+D81</f>
        <v>0</v>
      </c>
      <c r="E53" s="38" t="s">
        <v>41</v>
      </c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</row>
    <row r="54" spans="1:26" x14ac:dyDescent="0.25">
      <c r="A54" s="38"/>
      <c r="B54" s="38"/>
      <c r="C54" s="21" t="s">
        <v>20</v>
      </c>
      <c r="D54" s="32">
        <f>INT(Данные!F72/D49*D48)</f>
        <v>243</v>
      </c>
      <c r="E54" s="38"/>
      <c r="F54" s="38"/>
      <c r="G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</row>
    <row r="55" spans="1:26" x14ac:dyDescent="0.25">
      <c r="A55" s="38"/>
      <c r="B55" s="38"/>
      <c r="C55" s="22" t="s">
        <v>21</v>
      </c>
      <c r="D55" s="31">
        <f>D54-D53</f>
        <v>243</v>
      </c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</row>
    <row r="56" spans="1:26" x14ac:dyDescent="0.25">
      <c r="A56" s="38"/>
      <c r="B56" s="38"/>
      <c r="C56" s="38"/>
      <c r="D56" s="41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</row>
    <row r="57" spans="1:26" x14ac:dyDescent="0.25">
      <c r="A57" s="38"/>
      <c r="B57" s="38"/>
      <c r="C57" s="40" t="s">
        <v>22</v>
      </c>
      <c r="D57" s="42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</row>
    <row r="58" spans="1:26" x14ac:dyDescent="0.25">
      <c r="A58" s="38"/>
      <c r="B58" s="38"/>
      <c r="C58" s="27" t="s">
        <v>23</v>
      </c>
      <c r="D58" s="30">
        <v>76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</row>
    <row r="59" spans="1:26" x14ac:dyDescent="0.25">
      <c r="A59" s="38"/>
      <c r="B59" s="38"/>
      <c r="C59" s="22" t="s">
        <v>24</v>
      </c>
      <c r="D59" s="31">
        <f>D52*Данные!F48+D58</f>
        <v>76</v>
      </c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</row>
    <row r="60" spans="1:26" x14ac:dyDescent="0.25">
      <c r="A60" s="38"/>
      <c r="B60" s="38"/>
      <c r="C60" s="21" t="s">
        <v>25</v>
      </c>
      <c r="D60" s="32">
        <f>D53*Данные!F48+D58</f>
        <v>76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</row>
    <row r="61" spans="1:26" x14ac:dyDescent="0.25">
      <c r="A61" s="38"/>
      <c r="B61" s="38"/>
      <c r="C61" s="22" t="str">
        <f>"Ёмкость АКБ для работы "&amp;Данные!F65&amp;"+"&amp;Данные!F66&amp;" ч, Ач"</f>
        <v>Ёмкость АКБ для работы 24+1 ч, Ач</v>
      </c>
      <c r="D61" s="31">
        <f>(D59*Данные!F65+D60*Данные!F66)*Данные!F64/1000</f>
        <v>2.375</v>
      </c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</row>
    <row r="62" spans="1:26" x14ac:dyDescent="0.25">
      <c r="A62" s="38"/>
      <c r="B62" s="38"/>
      <c r="C62" s="21" t="s">
        <v>26</v>
      </c>
      <c r="D62" s="33">
        <f>IF(D61&lt;7,7,IF(D61&lt;12,12,IF(D61&lt;17,17,"МНОГО")))</f>
        <v>7</v>
      </c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</row>
    <row r="63" spans="1:26" x14ac:dyDescent="0.25">
      <c r="A63" s="38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</row>
    <row r="64" spans="1:26" x14ac:dyDescent="0.25">
      <c r="A64" s="38"/>
      <c r="B64" s="38"/>
      <c r="C64" s="40" t="s">
        <v>27</v>
      </c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</row>
    <row r="65" spans="1:26" x14ac:dyDescent="0.25">
      <c r="A65" s="38"/>
      <c r="B65" s="38"/>
      <c r="C65" s="66" t="str">
        <f>"Кабель 2х"&amp;Данные!B78&amp;" кв. мм., м"</f>
        <v>Кабель 2х0,5 кв. мм., м</v>
      </c>
      <c r="D65" s="62">
        <f>Данные!D78</f>
        <v>6000</v>
      </c>
      <c r="E65" s="78"/>
      <c r="F65" s="79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</row>
    <row r="66" spans="1:26" x14ac:dyDescent="0.25">
      <c r="A66" s="38"/>
      <c r="B66" s="38"/>
      <c r="C66" s="67" t="str">
        <f>"Кабель 2х"&amp;Данные!B79&amp;" кв. мм., м"</f>
        <v>Кабель 2х0,75 кв. мм., м</v>
      </c>
      <c r="D66" s="63">
        <f>Данные!D79</f>
        <v>6000</v>
      </c>
      <c r="E66" s="78"/>
      <c r="F66" s="79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</row>
    <row r="67" spans="1:26" x14ac:dyDescent="0.25">
      <c r="A67" s="38"/>
      <c r="B67" s="38"/>
      <c r="C67" s="66" t="str">
        <f>"Кабель 2х"&amp;Данные!B80&amp;" кв. мм., м"</f>
        <v>Кабель 2х1 кв. мм., м</v>
      </c>
      <c r="D67" s="62">
        <f>Данные!D80</f>
        <v>6000</v>
      </c>
      <c r="E67" s="78"/>
      <c r="F67" s="79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</row>
    <row r="68" spans="1:26" x14ac:dyDescent="0.25">
      <c r="A68" s="38"/>
      <c r="B68" s="38"/>
      <c r="C68" s="67" t="str">
        <f>"Кабель 2х"&amp;Данные!B81&amp;" кв. мм., м"</f>
        <v>Кабель 2х1,5 кв. мм., м</v>
      </c>
      <c r="D68" s="63">
        <f>Данные!D81</f>
        <v>6000</v>
      </c>
      <c r="E68" s="78"/>
      <c r="F68" s="79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</row>
    <row r="69" spans="1:26" x14ac:dyDescent="0.25">
      <c r="A69" s="38"/>
      <c r="B69" s="38"/>
      <c r="C69" s="66" t="str">
        <f>IF(SUM(D14:D18,D32:D34,D40:D42)=0,"Кабель 2х"&amp;Данные!B82&amp;" кв. мм., м","Жила сечением более 1,5 кв. мм. не проходит в клеммы")</f>
        <v>Кабель 2х2 кв. мм., м</v>
      </c>
      <c r="D69" s="62">
        <f>Данные!D82</f>
        <v>6000</v>
      </c>
      <c r="E69" s="64"/>
      <c r="F69" s="65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</row>
    <row r="70" spans="1:26" x14ac:dyDescent="0.25">
      <c r="A70" s="38"/>
      <c r="B70" s="38"/>
      <c r="C70" s="67" t="str">
        <f>IF(SUM(D14:D18,D32:D34,D40:D42)=0,"Кабель 2х"&amp;Данные!B83&amp;" мм. кв., м"," С6500, MC5A, ОС200СЗ и ОС200Т")</f>
        <v>Кабель 2х2,5 мм. кв., м</v>
      </c>
      <c r="D70" s="37">
        <f>Данные!D83</f>
        <v>6000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</row>
    <row r="71" spans="1:26" x14ac:dyDescent="0.25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</row>
    <row r="72" spans="1:26" x14ac:dyDescent="0.25">
      <c r="A72" s="38"/>
      <c r="B72" s="38"/>
      <c r="C72" s="40" t="s">
        <v>28</v>
      </c>
      <c r="D72" s="40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</row>
    <row r="73" spans="1:26" x14ac:dyDescent="0.25">
      <c r="A73" s="38"/>
      <c r="B73" s="38"/>
      <c r="C73" s="27" t="s">
        <v>29</v>
      </c>
      <c r="D73" s="69">
        <f>SUM(D8:D14,D16:D21,D23:D30,D32:D42)</f>
        <v>0</v>
      </c>
      <c r="E73" s="38" t="s">
        <v>41</v>
      </c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</row>
    <row r="74" spans="1:26" x14ac:dyDescent="0.25">
      <c r="A74" s="38"/>
      <c r="B74" s="38"/>
      <c r="C74" s="22" t="s">
        <v>141</v>
      </c>
      <c r="D74" s="37">
        <f>SUM(D8:D14)</f>
        <v>0</v>
      </c>
      <c r="E74" s="38" t="s">
        <v>41</v>
      </c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</row>
    <row r="75" spans="1:26" x14ac:dyDescent="0.25">
      <c r="A75" s="38"/>
      <c r="B75" s="38"/>
      <c r="C75" s="21" t="s">
        <v>142</v>
      </c>
      <c r="D75" s="36">
        <f>SUM(D16:D21,D32:D42,D23:D24,D27:D28,D30,D25*2,D26*3,D29*5)</f>
        <v>0</v>
      </c>
      <c r="E75" s="38" t="s">
        <v>41</v>
      </c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</row>
    <row r="76" spans="1:26" x14ac:dyDescent="0.25">
      <c r="A76" s="38"/>
      <c r="B76" s="38"/>
      <c r="C76" s="22" t="s">
        <v>30</v>
      </c>
      <c r="D76" s="37">
        <f>SUM(Данные!F8:F44)</f>
        <v>0</v>
      </c>
      <c r="E76" s="38" t="s">
        <v>41</v>
      </c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</row>
    <row r="77" spans="1:26" x14ac:dyDescent="0.25">
      <c r="A77" s="38"/>
      <c r="B77" s="38"/>
      <c r="C77" s="38"/>
      <c r="D77" s="43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</row>
    <row r="78" spans="1:26" x14ac:dyDescent="0.25">
      <c r="A78" s="38"/>
      <c r="B78" s="38"/>
      <c r="C78" s="40" t="s">
        <v>31</v>
      </c>
      <c r="D78" s="44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</row>
    <row r="79" spans="1:26" x14ac:dyDescent="0.25">
      <c r="A79" s="38"/>
      <c r="B79" s="38"/>
      <c r="C79" s="27" t="s">
        <v>32</v>
      </c>
      <c r="D79" s="70">
        <f>SUM(J8:J14,J16:J21,J23:J28,J44)</f>
        <v>0</v>
      </c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</row>
    <row r="80" spans="1:26" x14ac:dyDescent="0.25">
      <c r="A80" s="38"/>
      <c r="B80" s="38"/>
      <c r="C80" s="22" t="s">
        <v>33</v>
      </c>
      <c r="D80" s="35">
        <f>SUM(I32:I42)</f>
        <v>0</v>
      </c>
      <c r="E80" s="38" t="s">
        <v>43</v>
      </c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</row>
    <row r="81" spans="1:26" x14ac:dyDescent="0.25">
      <c r="A81" s="38"/>
      <c r="B81" s="38"/>
      <c r="C81" s="21" t="s">
        <v>34</v>
      </c>
      <c r="D81" s="34">
        <f>MIN(2,D76)*Данные!F53</f>
        <v>0</v>
      </c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</row>
    <row r="82" spans="1:26" x14ac:dyDescent="0.25">
      <c r="A82" s="38"/>
      <c r="B82" s="38"/>
      <c r="C82" s="22" t="s">
        <v>35</v>
      </c>
      <c r="D82" s="35">
        <f>SUMPRODUCT(Данные!E8:E42,Данные!F8:F42)</f>
        <v>0</v>
      </c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</row>
    <row r="83" spans="1:26" x14ac:dyDescent="0.25">
      <c r="A83" s="38"/>
      <c r="B83" s="38"/>
      <c r="C83" s="21" t="s">
        <v>36</v>
      </c>
      <c r="D83" s="32">
        <f>IF(D76&gt;0,D73/D76,0)</f>
        <v>0</v>
      </c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</row>
    <row r="84" spans="1:26" x14ac:dyDescent="0.25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</row>
    <row r="85" spans="1:26" x14ac:dyDescent="0.25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</row>
    <row r="86" spans="1:26" x14ac:dyDescent="0.25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</row>
    <row r="87" spans="1:26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</row>
    <row r="88" spans="1:26" x14ac:dyDescent="0.25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</row>
    <row r="89" spans="1:26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</row>
    <row r="90" spans="1:26" x14ac:dyDescent="0.25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</row>
    <row r="91" spans="1:26" x14ac:dyDescent="0.25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</row>
    <row r="92" spans="1:26" x14ac:dyDescent="0.25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</row>
    <row r="93" spans="1:26" x14ac:dyDescent="0.25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</row>
    <row r="94" spans="1:26" x14ac:dyDescent="0.25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</row>
    <row r="95" spans="1:26" x14ac:dyDescent="0.25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</row>
    <row r="96" spans="1:26" x14ac:dyDescent="0.25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</row>
    <row r="97" spans="1:26" x14ac:dyDescent="0.25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</row>
    <row r="98" spans="1:26" x14ac:dyDescent="0.25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</row>
    <row r="99" spans="1:26" x14ac:dyDescent="0.25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</row>
    <row r="100" spans="1:26" x14ac:dyDescent="0.25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</row>
  </sheetData>
  <sheetProtection algorithmName="SHA-512" hashValue="18ujmikiphU4VdYQag264zpJTp+UgE2FmyDiS7M8PTp0oPYWvezW9uB1pr3v+CsCAWLwv16ammSimyPFA5vBsw==" saltValue="/MNYRPL2YSAf+vZh6CsRAw==" spinCount="100000" sheet="1" objects="1" scenarios="1"/>
  <mergeCells count="16">
    <mergeCell ref="E66:F66"/>
    <mergeCell ref="E67:F67"/>
    <mergeCell ref="E68:F68"/>
    <mergeCell ref="H48:J48"/>
    <mergeCell ref="H49:J49"/>
    <mergeCell ref="H50:J50"/>
    <mergeCell ref="H51:J51"/>
    <mergeCell ref="E65:F65"/>
    <mergeCell ref="B12:C12"/>
    <mergeCell ref="B13:C13"/>
    <mergeCell ref="B14:C14"/>
    <mergeCell ref="B6:C6"/>
    <mergeCell ref="B8:C8"/>
    <mergeCell ref="B9:C9"/>
    <mergeCell ref="B10:C10"/>
    <mergeCell ref="B11:C11"/>
  </mergeCells>
  <conditionalFormatting sqref="B8:D44">
    <cfRule type="expression" dxfId="10" priority="12">
      <formula>$D8&gt;0</formula>
    </cfRule>
  </conditionalFormatting>
  <conditionalFormatting sqref="B8:K44">
    <cfRule type="expression" dxfId="9" priority="13">
      <formula>$D8&gt;0</formula>
    </cfRule>
  </conditionalFormatting>
  <conditionalFormatting sqref="C69:D70">
    <cfRule type="expression" dxfId="6" priority="1">
      <formula>SUM($D$14:$D$18,$D$32:$D$34,$D$40:$D$42)&gt;0</formula>
    </cfRule>
  </conditionalFormatting>
  <conditionalFormatting sqref="D69:D70">
    <cfRule type="expression" dxfId="5" priority="2">
      <formula>SUM($D$14:$D$18,$D$32:$D$34,$D$40:$D$42)&gt;0</formula>
    </cfRule>
  </conditionalFormatting>
  <conditionalFormatting sqref="K23">
    <cfRule type="expression" dxfId="0" priority="4">
      <formula>$K23&gt;$D23</formula>
    </cfRule>
  </conditionalFormatting>
  <dataValidations count="2">
    <dataValidation type="whole" allowBlank="1" showErrorMessage="1" errorTitle="ПРЕВЫШЕНИЕ" error="Количество устройств больше, чем может быть установлено" sqref="D44 D32:D42 D23:D30 D8:D14 D16:D21" xr:uid="{00000000-0002-0000-0000-000000000000}">
      <formula1>0</formula1>
      <formula2>E8</formula2>
    </dataValidation>
    <dataValidation type="whole" errorStyle="warning" allowBlank="1" showErrorMessage="1" errorTitle="ПРЕВЫШЕНИЕ" error="Количество изоляторов больше количества модулей данного типа. Лишние изоляторы не учитываются." sqref="K23:K28" xr:uid="{00000000-0002-0000-0000-000001000000}">
      <formula1>0</formula1>
      <formula2>D23</formula2>
    </dataValidation>
  </dataValidations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7" shapeId="1029" r:id="rId4">
          <objectPr defaultSize="0" autoPict="0" r:id="rId5">
            <anchor moveWithCells="1">
              <from>
                <xdr:col>1</xdr:col>
                <xdr:colOff>19050</xdr:colOff>
                <xdr:row>0</xdr:row>
                <xdr:rowOff>180975</xdr:rowOff>
              </from>
              <to>
                <xdr:col>2</xdr:col>
                <xdr:colOff>1866900</xdr:colOff>
                <xdr:row>3</xdr:row>
                <xdr:rowOff>47625</xdr:rowOff>
              </to>
            </anchor>
          </objectPr>
        </oleObject>
      </mc:Choice>
      <mc:Fallback>
        <oleObject progId="CorelDraw.Graphic.17" shapeId="1029" r:id="rId4"/>
      </mc:Fallback>
    </mc:AlternateContent>
  </oleObjec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0BB18C64-F106-4C3F-891B-7C2D60224650}">
            <xm:f>$D$48&lt;&gt;Данные!$F$58</xm:f>
            <x14:dxf>
              <fill>
                <patternFill>
                  <bgColor rgb="FFFFFF00"/>
                </patternFill>
              </fill>
            </x14:dxf>
          </x14:cfRule>
          <xm:sqref>C48:D48</xm:sqref>
        </x14:conditionalFormatting>
        <x14:conditionalFormatting xmlns:xm="http://schemas.microsoft.com/office/excel/2006/main">
          <x14:cfRule type="expression" priority="5" id="{90433522-62A9-468E-9FCB-DD210F0989E5}">
            <xm:f>$D$49&lt;&gt;Данные!$F$61</xm:f>
            <x14:dxf>
              <fill>
                <patternFill>
                  <bgColor rgb="FFFFFF00"/>
                </patternFill>
              </fill>
            </x14:dxf>
          </x14:cfRule>
          <xm:sqref>C49:D49</xm:sqref>
        </x14:conditionalFormatting>
        <x14:conditionalFormatting xmlns:xm="http://schemas.microsoft.com/office/excel/2006/main">
          <x14:cfRule type="expression" priority="22" id="{1CC7429B-7E50-4652-83BD-35568DAF6A58}">
            <xm:f>Данные!$F$87</xm:f>
            <x14:dxf>
              <font>
                <b val="0"/>
                <i val="0"/>
                <color auto="1"/>
              </font>
              <fill>
                <patternFill>
                  <bgColor rgb="FFFF0000"/>
                </patternFill>
              </fill>
            </x14:dxf>
          </x14:cfRule>
          <xm:sqref>H49 D53</xm:sqref>
        </x14:conditionalFormatting>
        <x14:conditionalFormatting xmlns:xm="http://schemas.microsoft.com/office/excel/2006/main">
          <x14:cfRule type="expression" priority="21" id="{30430526-44E5-4C24-A56B-A32AFFC2A07C}">
            <xm:f>Данные!$F$86</xm:f>
            <x14:dxf>
              <font>
                <b val="0"/>
                <i val="0"/>
                <color auto="1"/>
              </font>
              <fill>
                <patternFill>
                  <bgColor rgb="FF92D050"/>
                </patternFill>
              </fill>
            </x14:dxf>
          </x14:cfRule>
          <xm:sqref>H48:J48</xm:sqref>
        </x14:conditionalFormatting>
        <x14:conditionalFormatting xmlns:xm="http://schemas.microsoft.com/office/excel/2006/main">
          <x14:cfRule type="expression" priority="24" id="{111AFB46-8698-45B8-9588-97869668EF40}">
            <xm:f>Данные!$F$88</xm:f>
            <x14:dxf>
              <font>
                <color auto="1"/>
              </font>
              <fill>
                <patternFill>
                  <bgColor rgb="FFFFC000"/>
                </patternFill>
              </fill>
            </x14:dxf>
          </x14:cfRule>
          <xm:sqref>H50:J50 D62</xm:sqref>
        </x14:conditionalFormatting>
        <x14:conditionalFormatting xmlns:xm="http://schemas.microsoft.com/office/excel/2006/main">
          <x14:cfRule type="expression" priority="26" id="{A4922CEB-C0FD-45D0-9D6C-B2373BE9C4B5}">
            <xm:f>Данные!$F$89</xm:f>
            <x14:dxf>
              <font>
                <color auto="1"/>
              </font>
              <fill>
                <patternFill>
                  <bgColor rgb="FFFFC000"/>
                </patternFill>
              </fill>
            </x14:dxf>
          </x14:cfRule>
          <xm:sqref>H51:J51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Данные!$F$57:$F$59</xm:f>
          </x14:formula1>
          <xm:sqref>D48</xm:sqref>
        </x14:dataValidation>
        <x14:dataValidation type="list" allowBlank="1" showInputMessage="1" showErrorMessage="1" xr:uid="{00000000-0002-0000-0000-000003000000}">
          <x14:formula1>
            <xm:f>Данные!$F$60:$F$61</xm:f>
          </x14:formula1>
          <xm:sqref>D49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Q93"/>
  <sheetViews>
    <sheetView topLeftCell="A37" workbookViewId="0">
      <selection activeCell="F67" sqref="F67"/>
    </sheetView>
  </sheetViews>
  <sheetFormatPr defaultRowHeight="15" x14ac:dyDescent="0.25"/>
  <cols>
    <col min="1" max="2" width="17.140625" customWidth="1"/>
    <col min="3" max="17" width="14.5703125" customWidth="1"/>
  </cols>
  <sheetData>
    <row r="5" spans="2:17" x14ac:dyDescent="0.25">
      <c r="B5" s="9" t="s">
        <v>152</v>
      </c>
    </row>
    <row r="6" spans="2:17" ht="60" x14ac:dyDescent="0.25">
      <c r="B6" s="4" t="s">
        <v>114</v>
      </c>
      <c r="C6" s="5" t="s">
        <v>115</v>
      </c>
      <c r="D6" s="5" t="s">
        <v>116</v>
      </c>
      <c r="E6" s="5" t="s">
        <v>117</v>
      </c>
      <c r="F6" s="5" t="s">
        <v>118</v>
      </c>
      <c r="G6" s="5" t="s">
        <v>119</v>
      </c>
      <c r="H6" s="5" t="s">
        <v>121</v>
      </c>
      <c r="I6" s="54" t="s">
        <v>120</v>
      </c>
      <c r="J6" s="5" t="s">
        <v>157</v>
      </c>
      <c r="K6" s="5" t="s">
        <v>159</v>
      </c>
      <c r="L6" s="5" t="s">
        <v>158</v>
      </c>
      <c r="M6" s="5" t="s">
        <v>163</v>
      </c>
      <c r="N6" s="5" t="s">
        <v>167</v>
      </c>
      <c r="P6" s="59"/>
      <c r="Q6" s="59"/>
    </row>
    <row r="7" spans="2:17" x14ac:dyDescent="0.25">
      <c r="B7" s="52" t="s">
        <v>80</v>
      </c>
      <c r="N7" s="6"/>
    </row>
    <row r="8" spans="2:17" x14ac:dyDescent="0.25">
      <c r="B8" s="3" t="s">
        <v>83</v>
      </c>
      <c r="C8" s="1">
        <v>0.3</v>
      </c>
      <c r="D8" s="1">
        <v>3.5</v>
      </c>
      <c r="E8" s="1">
        <v>0</v>
      </c>
      <c r="F8" s="1">
        <f>MIN(Расчет!D8,IF(Расчет!K8="НЕТ",0,Расчет!K8))</f>
        <v>0</v>
      </c>
      <c r="G8" s="1">
        <f>G14+Расчет!I14</f>
        <v>0</v>
      </c>
      <c r="H8" s="1">
        <v>2</v>
      </c>
      <c r="I8" s="49">
        <v>1</v>
      </c>
      <c r="J8" s="1">
        <f>$F$54-SUM(Расчет!D9,Расчет!D10,Расчет!D11,Расчет!D12,Расчет!D13,Расчет!D14)</f>
        <v>159</v>
      </c>
      <c r="K8" s="1"/>
      <c r="L8" s="55">
        <f>INT((Расчет!$D$54-SUM(M44,M42,M30,M21)-SUM(N14,N13,N12,N11,N10,N9)-Расчет!D81-($F$51-G8)*Расчет!G8)/Расчет!F8)</f>
        <v>794</v>
      </c>
      <c r="M8" s="2"/>
      <c r="N8" s="56">
        <f>Расчет!H8+Расчет!J8</f>
        <v>0</v>
      </c>
    </row>
    <row r="9" spans="2:17" x14ac:dyDescent="0.25">
      <c r="B9" s="3" t="s">
        <v>84</v>
      </c>
      <c r="C9" s="1">
        <v>0.3</v>
      </c>
      <c r="D9" s="1">
        <v>3.5</v>
      </c>
      <c r="E9" s="1">
        <v>0.1</v>
      </c>
      <c r="F9" s="1">
        <f>MIN(Расчет!D9,IF(Расчет!K9="НЕТ",0,Расчет!K9))</f>
        <v>0</v>
      </c>
      <c r="G9" s="1">
        <f>G8+Расчет!I8</f>
        <v>0</v>
      </c>
      <c r="H9" s="1">
        <v>3</v>
      </c>
      <c r="I9" s="49">
        <v>1</v>
      </c>
      <c r="J9" s="1">
        <f>$F$54-SUM(Расчет!D8,Расчет!D10,Расчет!D11,Расчет!D12,Расчет!D13,Расчет!D14)</f>
        <v>159</v>
      </c>
      <c r="K9" s="1"/>
      <c r="L9" s="55">
        <f>INT((Расчет!$D$54-SUM(M44,M42,M30,M21)-SUM(N14,N13,N12,N11,N10,N8)-Расчет!D81-IF(SUM(F8:F44)=0,30,IF(SUM(F8:F44)=1,15,0))-($F$51-G9)*Расчет!G9)/Расчет!F9)</f>
        <v>689</v>
      </c>
      <c r="M9" s="51"/>
      <c r="N9" s="56">
        <f>Расчет!H9+Расчет!J9</f>
        <v>0</v>
      </c>
    </row>
    <row r="10" spans="2:17" x14ac:dyDescent="0.25">
      <c r="B10" s="3" t="s">
        <v>82</v>
      </c>
      <c r="C10" s="1">
        <v>0.3</v>
      </c>
      <c r="D10" s="1">
        <v>3.5</v>
      </c>
      <c r="E10" s="1">
        <v>0</v>
      </c>
      <c r="F10" s="1">
        <f>MIN(Расчет!D10,IF(Расчет!K10="НЕТ",0,Расчет!K10))</f>
        <v>0</v>
      </c>
      <c r="G10" s="1">
        <f>G9+Расчет!I9</f>
        <v>0</v>
      </c>
      <c r="H10" s="1">
        <v>4</v>
      </c>
      <c r="I10" s="49">
        <v>1</v>
      </c>
      <c r="J10" s="1">
        <f>$F$54-SUM(Расчет!D8,Расчет!D9,Расчет!D11,Расчет!D12,Расчет!D13,Расчет!D14)</f>
        <v>159</v>
      </c>
      <c r="K10" s="1"/>
      <c r="L10" s="55">
        <f>INT((Расчет!$D$54-SUM(M44,M42,M30,M21)-SUM(N14,N13,N12,N11,N9,N8)-Расчет!D81-($F$51-G10)*Расчет!G10)/Расчет!F10)</f>
        <v>794</v>
      </c>
      <c r="M10" s="51"/>
      <c r="N10" s="56">
        <f>Расчет!H10+Расчет!J10</f>
        <v>0</v>
      </c>
    </row>
    <row r="11" spans="2:17" x14ac:dyDescent="0.25">
      <c r="B11" s="3" t="s">
        <v>81</v>
      </c>
      <c r="C11" s="1">
        <v>0.3</v>
      </c>
      <c r="D11" s="1">
        <v>3.5</v>
      </c>
      <c r="E11" s="1">
        <v>0.1</v>
      </c>
      <c r="F11" s="1">
        <f>MIN(Расчет!D11,IF(Расчет!K11="НЕТ",0,Расчет!K11))</f>
        <v>0</v>
      </c>
      <c r="G11" s="1">
        <f>G10+Расчет!I10</f>
        <v>0</v>
      </c>
      <c r="H11" s="1">
        <v>5</v>
      </c>
      <c r="I11" s="49">
        <v>1</v>
      </c>
      <c r="J11" s="1">
        <f>$F$54-SUM(Расчет!D8,Расчет!D9,Расчет!D10,Расчет!D12,Расчет!D13,Расчет!D14)</f>
        <v>159</v>
      </c>
      <c r="K11" s="1"/>
      <c r="L11" s="55">
        <f>INT((Расчет!$D$54-SUM(M44,M42,M30,M21)-SUM(N14,N13,N12,N10,N9,N8)-Расчет!D81-IF(SUM(F8:F44)=0,30,IF(SUM(F8:F44)=1,15,0))-($F$51-G11)*Расчет!G11)/Расчет!F11)</f>
        <v>689</v>
      </c>
      <c r="M11" s="51"/>
      <c r="N11" s="56">
        <f>Расчет!H11+Расчет!J11</f>
        <v>0</v>
      </c>
    </row>
    <row r="12" spans="2:17" x14ac:dyDescent="0.25">
      <c r="B12" s="3" t="s">
        <v>85</v>
      </c>
      <c r="C12" s="1">
        <v>0.3</v>
      </c>
      <c r="D12" s="1">
        <v>3.5</v>
      </c>
      <c r="E12" s="1">
        <v>0</v>
      </c>
      <c r="F12" s="1">
        <f>MIN(Расчет!D12,IF(Расчет!K12="НЕТ",0,Расчет!K12))</f>
        <v>0</v>
      </c>
      <c r="G12" s="1">
        <f>G11+Расчет!I11</f>
        <v>0</v>
      </c>
      <c r="H12" s="1">
        <v>6</v>
      </c>
      <c r="I12" s="49">
        <v>1</v>
      </c>
      <c r="J12" s="1">
        <f>$F$54-SUM(Расчет!D8,Расчет!D9,Расчет!D10,Расчет!D11,Расчет!D13,Расчет!D14)</f>
        <v>159</v>
      </c>
      <c r="K12" s="1"/>
      <c r="L12" s="55">
        <f>INT((Расчет!$D$54-SUM(M44,M42,M30,M21)-SUM(N14,N13,N11,N10,N9,N8)-Расчет!D81-($F$51-G12)*Расчет!G12)/Расчет!F12)</f>
        <v>794</v>
      </c>
      <c r="M12" s="51"/>
      <c r="N12" s="56">
        <f>Расчет!H12+Расчет!J12</f>
        <v>0</v>
      </c>
    </row>
    <row r="13" spans="2:17" x14ac:dyDescent="0.25">
      <c r="B13" s="3" t="s">
        <v>86</v>
      </c>
      <c r="C13" s="1">
        <v>0.3</v>
      </c>
      <c r="D13" s="1">
        <v>3.5</v>
      </c>
      <c r="E13" s="1">
        <v>0.1</v>
      </c>
      <c r="F13" s="1">
        <f>MIN(Расчет!D13,IF(Расчет!K13="НЕТ",0,Расчет!K13))</f>
        <v>0</v>
      </c>
      <c r="G13" s="1">
        <f>G12+Расчет!I12</f>
        <v>0</v>
      </c>
      <c r="H13" s="1">
        <v>7</v>
      </c>
      <c r="I13" s="49">
        <v>1</v>
      </c>
      <c r="J13" s="1">
        <f>$F$54-SUM(Расчет!D8,Расчет!D9,Расчет!D10,Расчет!D11,Расчет!D12,Расчет!D14)</f>
        <v>159</v>
      </c>
      <c r="K13" s="1"/>
      <c r="L13" s="55">
        <f>INT((Расчет!$D$54-SUM(M44,M42,M30,M21)-SUM(N14,N12,N11,N10,N9,N8)-Расчет!D81-IF(SUM(F8:F44)=0,30,IF(SUM(F8:F44)=1,15,0))-($F$51-G13)*Расчет!G13)/Расчет!F13)</f>
        <v>689</v>
      </c>
      <c r="M13" s="7" t="s">
        <v>165</v>
      </c>
      <c r="N13" s="56">
        <f>Расчет!H13+Расчет!J13</f>
        <v>0</v>
      </c>
    </row>
    <row r="14" spans="2:17" x14ac:dyDescent="0.25">
      <c r="B14" s="3" t="s">
        <v>89</v>
      </c>
      <c r="C14" s="1">
        <v>1</v>
      </c>
      <c r="D14" s="1">
        <v>4</v>
      </c>
      <c r="E14" s="1">
        <v>0.1</v>
      </c>
      <c r="F14" s="1">
        <f>MIN(Расчет!D14,IF(Расчет!K14="НЕТ",0,Расчет!K14))</f>
        <v>0</v>
      </c>
      <c r="G14" s="1">
        <v>0</v>
      </c>
      <c r="H14" s="1">
        <v>1</v>
      </c>
      <c r="I14" s="49">
        <v>1</v>
      </c>
      <c r="J14" s="1">
        <f>$F$54-SUM(Расчет!D8,Расчет!D9,Расчет!D10,Расчет!D11,Расчет!D12,Расчет!D13)</f>
        <v>159</v>
      </c>
      <c r="K14" s="1"/>
      <c r="L14" s="55">
        <f>INT((Расчет!$D$54-SUM(M44,M42,M30,M21)-SUM(N13,N12,N11,N10,N9,N8)-Расчет!D81-($F$51-G14)*Расчет!G14)/Расчет!F14)</f>
        <v>235</v>
      </c>
      <c r="M14" s="56">
        <f>SUM(Расчет!H8:H14,Расчет!J8:J14)</f>
        <v>0</v>
      </c>
      <c r="N14" s="56">
        <f>Расчет!H14+Расчет!J14</f>
        <v>0</v>
      </c>
    </row>
    <row r="15" spans="2:17" x14ac:dyDescent="0.25">
      <c r="B15" s="52" t="s">
        <v>87</v>
      </c>
      <c r="N15" s="6"/>
    </row>
    <row r="16" spans="2:17" x14ac:dyDescent="0.25">
      <c r="B16" s="1" t="s">
        <v>88</v>
      </c>
      <c r="C16" s="1">
        <v>0.3</v>
      </c>
      <c r="D16" s="1">
        <v>3.5</v>
      </c>
      <c r="E16" s="1">
        <v>0.1</v>
      </c>
      <c r="F16" s="1">
        <f>MIN(Расчет!D16,IF(Расчет!K16="НЕТ",0,Расчет!K16))</f>
        <v>0</v>
      </c>
      <c r="G16" s="1">
        <f>G13+Расчет!I13</f>
        <v>0</v>
      </c>
      <c r="H16" s="1">
        <v>8</v>
      </c>
      <c r="I16" s="49">
        <v>1</v>
      </c>
      <c r="J16" s="1">
        <f>$F$54-K30-K42-SUM(Расчет!D17,Расчет!D18,Расчет!D19,Расчет!D20,Расчет!D21)</f>
        <v>159</v>
      </c>
      <c r="K16" s="1"/>
      <c r="L16" s="55">
        <f>INT((Расчет!$D$54-SUM(M44,M42,M30,M14)-SUM(N17,N18,N19,N20,N21)-Расчет!D81-IF(SUM(F8:F44)=0,30,IF(SUM(F8:F44)=1,15,0))-($F$51-G16)*Расчет!G16)/Расчет!F16)</f>
        <v>689</v>
      </c>
      <c r="M16" s="2"/>
      <c r="N16" s="56">
        <f>Расчет!H16+Расчет!J16</f>
        <v>0</v>
      </c>
    </row>
    <row r="17" spans="2:14" x14ac:dyDescent="0.25">
      <c r="B17" s="1" t="s">
        <v>91</v>
      </c>
      <c r="C17" s="1">
        <v>0.3</v>
      </c>
      <c r="D17" s="1">
        <v>3.5</v>
      </c>
      <c r="E17" s="1">
        <v>0.1</v>
      </c>
      <c r="F17" s="1">
        <f>MIN(Расчет!D17,IF(Расчет!K17="НЕТ",0,Расчет!K17))</f>
        <v>0</v>
      </c>
      <c r="G17" s="1">
        <f>G16+Расчет!I16</f>
        <v>0</v>
      </c>
      <c r="H17" s="1">
        <v>9</v>
      </c>
      <c r="I17" s="49">
        <v>1</v>
      </c>
      <c r="J17" s="1">
        <f>$F$54-K30-K42-SUM(Расчет!D16,Расчет!D18,Расчет!D19,Расчет!D20,Расчет!D21)</f>
        <v>159</v>
      </c>
      <c r="K17" s="1"/>
      <c r="L17" s="55">
        <f>INT((Расчет!$D$54-SUM(M44,M42,M30,M14)-SUM(N16,N18,N19,N20,N21)-Расчет!D81-IF(SUM(F8:F44)=0,30,IF(SUM(F8:F44)=1,15,0))-($F$51-G17)*Расчет!G17)/Расчет!F17)</f>
        <v>689</v>
      </c>
      <c r="M17" s="51"/>
      <c r="N17" s="56">
        <f>Расчет!H17+Расчет!J17</f>
        <v>0</v>
      </c>
    </row>
    <row r="18" spans="2:14" x14ac:dyDescent="0.25">
      <c r="B18" s="1" t="s">
        <v>90</v>
      </c>
      <c r="C18" s="1">
        <v>0.3</v>
      </c>
      <c r="D18" s="1">
        <v>3.5</v>
      </c>
      <c r="E18" s="1">
        <v>0.1</v>
      </c>
      <c r="F18" s="1">
        <f>MIN(Расчет!D18,IF(Расчет!K18="НЕТ",0,Расчет!K18))</f>
        <v>0</v>
      </c>
      <c r="G18" s="1">
        <f>G17+Расчет!I17</f>
        <v>0</v>
      </c>
      <c r="H18" s="1">
        <v>10</v>
      </c>
      <c r="I18" s="49">
        <v>1</v>
      </c>
      <c r="J18" s="1">
        <f>$F$54-K30-K42-SUM(Расчет!D16,Расчет!D17,Расчет!D19,Расчет!D20,Расчет!D21)</f>
        <v>159</v>
      </c>
      <c r="K18" s="1"/>
      <c r="L18" s="55">
        <f>INT((Расчет!$D$54-SUM(M44,M42,M30,M14)-SUM(N16,N17,N19,N20,N21)-Расчет!D81-IF(SUM(F8:F44)=0,30,IF(SUM(F8:F44)=1,15,0))-($F$51-G18)*Расчет!G18)/Расчет!F18)</f>
        <v>689</v>
      </c>
      <c r="M18" s="51"/>
      <c r="N18" s="56">
        <f>Расчет!H18+Расчет!J18</f>
        <v>0</v>
      </c>
    </row>
    <row r="19" spans="2:14" x14ac:dyDescent="0.25">
      <c r="B19" s="1" t="s">
        <v>92</v>
      </c>
      <c r="C19" s="1">
        <v>0.3</v>
      </c>
      <c r="D19" s="1">
        <v>3.5</v>
      </c>
      <c r="E19" s="1">
        <v>0.1</v>
      </c>
      <c r="F19" s="1">
        <f>MIN(Расчет!D19,IF(Расчет!K19="НЕТ",0,Расчет!K19))</f>
        <v>0</v>
      </c>
      <c r="G19" s="1">
        <f>G18+Расчет!I18</f>
        <v>0</v>
      </c>
      <c r="H19" s="1">
        <v>11</v>
      </c>
      <c r="I19" s="49">
        <v>1</v>
      </c>
      <c r="J19" s="1">
        <f>$F$54-K30-K42-SUM(Расчет!D16,Расчет!D17,Расчет!D18,Расчет!D20,Расчет!D21)</f>
        <v>159</v>
      </c>
      <c r="K19" s="1"/>
      <c r="L19" s="55">
        <f>INT((Расчет!$D$54-SUM(M44,M42,M30,M14)-SUM(N16,N17,N18,N20,N21)-Расчет!D81-IF(SUM(F8:F44)=0,30,IF(SUM(F8:F44)=1,15,0))-($F$51-G19)*Расчет!G19)/Расчет!F19)</f>
        <v>689</v>
      </c>
      <c r="M19" s="51"/>
      <c r="N19" s="56">
        <f>Расчет!H19+Расчет!J19</f>
        <v>0</v>
      </c>
    </row>
    <row r="20" spans="2:14" x14ac:dyDescent="0.25">
      <c r="B20" s="1" t="s">
        <v>93</v>
      </c>
      <c r="C20" s="1">
        <v>0.3</v>
      </c>
      <c r="D20" s="1">
        <v>3.5</v>
      </c>
      <c r="E20" s="1">
        <v>0.1</v>
      </c>
      <c r="F20" s="1">
        <f>MIN(Расчет!D20,IF(Расчет!K20="НЕТ",0,Расчет!K20))</f>
        <v>0</v>
      </c>
      <c r="G20" s="1">
        <f>G19+Расчет!I19</f>
        <v>0</v>
      </c>
      <c r="H20" s="1">
        <v>12</v>
      </c>
      <c r="I20" s="49">
        <v>1</v>
      </c>
      <c r="J20" s="1">
        <f>$F$54-K30-K42-SUM(Расчет!D16,Расчет!D17,Расчет!D18,Расчет!D19,Расчет!D21)</f>
        <v>159</v>
      </c>
      <c r="K20" s="1" t="s">
        <v>160</v>
      </c>
      <c r="L20" s="55">
        <f>INT((Расчет!$D$54-SUM(M44,M42,M30,M14)-SUM(N16,N17,N18,N19,N21)-Расчет!D81-IF(SUM(F8:F44)=0,30,IF(SUM(F8:F44)=1,15,0))-($F$51-G20)*Расчет!G20)/Расчет!F20)</f>
        <v>689</v>
      </c>
      <c r="M20" s="7" t="s">
        <v>160</v>
      </c>
      <c r="N20" s="56">
        <f>Расчет!H20+Расчет!J20</f>
        <v>0</v>
      </c>
    </row>
    <row r="21" spans="2:14" x14ac:dyDescent="0.25">
      <c r="B21" s="1" t="s">
        <v>94</v>
      </c>
      <c r="C21" s="1">
        <v>0.3</v>
      </c>
      <c r="D21" s="1">
        <v>3.5</v>
      </c>
      <c r="E21" s="1">
        <v>0.1</v>
      </c>
      <c r="F21" s="1">
        <f>MIN(Расчет!D21,IF(Расчет!K21="НЕТ",0,Расчет!K21))</f>
        <v>0</v>
      </c>
      <c r="G21" s="1">
        <f>G20+Расчет!I20</f>
        <v>0</v>
      </c>
      <c r="H21" s="1">
        <v>13</v>
      </c>
      <c r="I21" s="49">
        <v>1</v>
      </c>
      <c r="J21" s="1">
        <f>$F$54-K30-K42-SUM(Расчет!D16,Расчет!D17,Расчет!D18,Расчет!D19,Расчет!D20)</f>
        <v>159</v>
      </c>
      <c r="K21" s="1">
        <f>SUM(Расчет!D16:D21)</f>
        <v>0</v>
      </c>
      <c r="L21" s="55">
        <f>INT((Расчет!$D$54-SUM(M44,M42,M30,M14)-SUM(N16,N17,N18,N19,N20)-Расчет!D81-IF(SUM(F8:F44)=0,30,IF(SUM(F8:F44)=1,15,0))-($F$51-G21)*Расчет!G21)/Расчет!F21)</f>
        <v>689</v>
      </c>
      <c r="M21" s="56">
        <f>SUM(Расчет!H16:H21,Расчет!J16:J21)</f>
        <v>0</v>
      </c>
      <c r="N21" s="56">
        <f>Расчет!H21+Расчет!J21</f>
        <v>0</v>
      </c>
    </row>
    <row r="22" spans="2:14" x14ac:dyDescent="0.25">
      <c r="B22" s="52" t="s">
        <v>11</v>
      </c>
      <c r="N22" s="6"/>
    </row>
    <row r="23" spans="2:14" x14ac:dyDescent="0.25">
      <c r="B23" s="1" t="s">
        <v>95</v>
      </c>
      <c r="C23" s="1">
        <v>0.85</v>
      </c>
      <c r="D23" s="1">
        <v>1.1000000000000001</v>
      </c>
      <c r="E23" s="1">
        <v>0.2</v>
      </c>
      <c r="F23" s="1">
        <f>MIN(Расчет!D23,IF(Расчет!K23="НЕТ",0,Расчет!K23))</f>
        <v>0</v>
      </c>
      <c r="G23" s="1">
        <f>G21+Расчет!I21</f>
        <v>0</v>
      </c>
      <c r="H23" s="1">
        <v>14</v>
      </c>
      <c r="I23" s="49">
        <v>1</v>
      </c>
      <c r="J23" s="1">
        <f>$F$54-K21-K42-SUM(Расчет!D24,Расчет!D25*2,Расчет!D26*3,Расчет!D27,Расчет!D28,Расчет!D29*5,Расчет!D30)</f>
        <v>159</v>
      </c>
      <c r="K23" s="1"/>
      <c r="L23" s="55">
        <f>INT((Расчет!$D$54-SUM(M44,M42,M21,M14)-SUM(N24,N25,N26,N27,N28,N29,N30)-Расчет!D81-IF(SUM(F8:F44)=0,30,IF(SUM(F8:F44)=1,15,0))-($F$51-G23)*Расчет!G23)/Расчет!F23)</f>
        <v>257</v>
      </c>
      <c r="M23" s="2"/>
      <c r="N23" s="56">
        <f>Расчет!H23+Расчет!J23</f>
        <v>0</v>
      </c>
    </row>
    <row r="24" spans="2:14" x14ac:dyDescent="0.25">
      <c r="B24" s="1" t="s">
        <v>96</v>
      </c>
      <c r="C24" s="1">
        <v>0.85</v>
      </c>
      <c r="D24" s="1">
        <v>1.1000000000000001</v>
      </c>
      <c r="E24" s="1">
        <v>0.2</v>
      </c>
      <c r="F24" s="1">
        <f>MIN(Расчет!D24,IF(Расчет!K24="НЕТ",0,Расчет!K24))</f>
        <v>0</v>
      </c>
      <c r="G24" s="1">
        <f>G23+Расчет!I23</f>
        <v>0</v>
      </c>
      <c r="H24" s="1">
        <v>15</v>
      </c>
      <c r="I24" s="49">
        <v>1</v>
      </c>
      <c r="J24" s="1">
        <f>$F$54-K21-K42-SUM(Расчет!D23,Расчет!D25*2,Расчет!D26*3,Расчет!D27,Расчет!D28,Расчет!D29*5,Расчет!D30)</f>
        <v>159</v>
      </c>
      <c r="K24" s="1"/>
      <c r="L24" s="55">
        <f>INT((Расчет!$D$54-SUM(M44,M42,M21,M14)-SUM(N23,N25,N26,N27,N28,N29,N30)-Расчет!D81-IF(SUM(F8:F44)=0,30,IF(SUM(F8:F44)=1,15,0))-($F$51-G24)*Расчет!G24)/Расчет!F24)</f>
        <v>257</v>
      </c>
      <c r="M24" s="51"/>
      <c r="N24" s="56">
        <f>Расчет!H24+Расчет!J24</f>
        <v>0</v>
      </c>
    </row>
    <row r="25" spans="2:14" x14ac:dyDescent="0.25">
      <c r="B25" s="1" t="s">
        <v>97</v>
      </c>
      <c r="C25" s="1">
        <v>0.85</v>
      </c>
      <c r="D25" s="1">
        <v>1.1000000000000001</v>
      </c>
      <c r="E25" s="1">
        <v>0.2</v>
      </c>
      <c r="F25" s="1">
        <f>MIN(Расчет!D25,IF(Расчет!K25="НЕТ",0,Расчет!K25))</f>
        <v>0</v>
      </c>
      <c r="G25" s="1">
        <f>G24+Расчет!I24</f>
        <v>0</v>
      </c>
      <c r="H25" s="1">
        <v>16</v>
      </c>
      <c r="I25" s="49">
        <v>2</v>
      </c>
      <c r="J25" s="1">
        <f>INT(($F$54-K21-K42-SUM(Расчет!D23,Расчет!D24,Расчет!D26*3,Расчет!D27,Расчет!D28,Расчет!D29*5,Расчет!D30))/2)</f>
        <v>79</v>
      </c>
      <c r="K25" s="1"/>
      <c r="L25" s="55">
        <f>INT((Расчет!$D$54-SUM(M44,M42,M21,M14)-SUM(N23,N24,N26,N27,N28,N29,N30)-Расчет!D81-IF(SUM(F8:F44)=0,30,IF(SUM(F8:F44)=1,15,0))-($F$51-G25)*Расчет!G25)/Расчет!F25)</f>
        <v>257</v>
      </c>
      <c r="M25" s="51"/>
      <c r="N25" s="56">
        <f>Расчет!H25+Расчет!J25</f>
        <v>0</v>
      </c>
    </row>
    <row r="26" spans="2:14" x14ac:dyDescent="0.25">
      <c r="B26" s="1" t="s">
        <v>98</v>
      </c>
      <c r="C26" s="1">
        <v>0.85</v>
      </c>
      <c r="D26" s="1">
        <v>1.1000000000000001</v>
      </c>
      <c r="E26" s="1">
        <v>0.2</v>
      </c>
      <c r="F26" s="1">
        <f>MIN(Расчет!D26,IF(Расчет!K26="НЕТ",0,Расчет!K26))</f>
        <v>0</v>
      </c>
      <c r="G26" s="1">
        <f>G25+Расчет!I25</f>
        <v>0</v>
      </c>
      <c r="H26" s="1">
        <v>17</v>
      </c>
      <c r="I26" s="49">
        <v>3</v>
      </c>
      <c r="J26" s="1">
        <f>INT(($F$54-K21-K42-SUM(Расчет!D23,Расчет!D24,Расчет!D25*2,Расчет!D27,Расчет!D28,Расчет!D29*5,Расчет!D30))/3)</f>
        <v>53</v>
      </c>
      <c r="K26" s="1"/>
      <c r="L26" s="55">
        <f>INT((Расчет!$D$54-SUM(M44,M42,M21,M14)-SUM(N23,N24,N25,N27,N28,N29,N30)-Расчет!D81-IF(SUM(F8:F44)=0,30,IF(SUM(F8:F44)=1,15,0))-($F$51-G26)*Расчет!G26)/Расчет!F26)</f>
        <v>257</v>
      </c>
      <c r="M26" s="51"/>
      <c r="N26" s="56">
        <f>Расчет!H26+Расчет!J26</f>
        <v>0</v>
      </c>
    </row>
    <row r="27" spans="2:14" x14ac:dyDescent="0.25">
      <c r="B27" s="1" t="s">
        <v>99</v>
      </c>
      <c r="C27" s="1">
        <v>0.75</v>
      </c>
      <c r="D27" s="1">
        <v>1.1000000000000001</v>
      </c>
      <c r="E27" s="1">
        <v>0.2</v>
      </c>
      <c r="F27" s="1">
        <f>MIN(Расчет!D27,IF(Расчет!K27="НЕТ",0,Расчет!K27))</f>
        <v>0</v>
      </c>
      <c r="G27" s="1">
        <f>G26+Расчет!I26</f>
        <v>0</v>
      </c>
      <c r="H27" s="1">
        <v>18</v>
      </c>
      <c r="I27" s="49">
        <v>1</v>
      </c>
      <c r="J27" s="1">
        <f>$F$54-K21-K42-SUM(Расчет!D23,Расчет!D24,Расчет!D25*2,Расчет!D26*3,Расчет!D28,Расчет!D29*5,Расчет!D30)</f>
        <v>159</v>
      </c>
      <c r="K27" s="1"/>
      <c r="L27" s="55">
        <f>INT((Расчет!$D$54-SUM(M44,M42,M21,M14)-SUM(N23,N24,N25,N26,N28,N29,N30)-Расчет!D81-IF(SUM(F8:F44)=0,30,IF(SUM(F8:F44)=1,15,0))-($F$51-G27)*Расчет!G27)/Расчет!F27)</f>
        <v>291</v>
      </c>
      <c r="M27" s="51"/>
      <c r="N27" s="56">
        <f>Расчет!H27+Расчет!J27</f>
        <v>0</v>
      </c>
    </row>
    <row r="28" spans="2:14" x14ac:dyDescent="0.25">
      <c r="B28" s="1" t="s">
        <v>100</v>
      </c>
      <c r="C28" s="1">
        <v>1.1000000000000001</v>
      </c>
      <c r="D28" s="1">
        <v>1.1000000000000001</v>
      </c>
      <c r="E28" s="1">
        <v>0.2</v>
      </c>
      <c r="F28" s="1">
        <f>MIN(Расчет!D28,IF(Расчет!K28="НЕТ",0,Расчет!K28))</f>
        <v>0</v>
      </c>
      <c r="G28" s="1">
        <f>G27+Расчет!I27</f>
        <v>0</v>
      </c>
      <c r="H28" s="1">
        <v>19</v>
      </c>
      <c r="I28" s="49">
        <v>1</v>
      </c>
      <c r="J28" s="1">
        <f>$F$54-K21-K42-SUM(Расчет!D23,Расчет!D24,Расчет!D25*2,Расчет!D26*3,Расчет!D27,Расчет!D29*5,Расчет!D30)</f>
        <v>159</v>
      </c>
      <c r="K28" s="1"/>
      <c r="L28" s="55">
        <f>INT((Расчет!$D$54-SUM(M44,M42,M21,M14)-SUM(N23,N24,N25,N26,N27,N29,N30)-Расчет!D81-IF(SUM(F8:F44)=0,30,IF(SUM(F8:F44)=1,15,0))-($F$51-G28)*Расчет!G28)/Расчет!F28)</f>
        <v>198</v>
      </c>
      <c r="M28" s="51"/>
      <c r="N28" s="56">
        <f>Расчет!H28+Расчет!J28</f>
        <v>0</v>
      </c>
    </row>
    <row r="29" spans="2:14" x14ac:dyDescent="0.25">
      <c r="B29" s="1" t="s">
        <v>101</v>
      </c>
      <c r="C29" s="1">
        <v>3</v>
      </c>
      <c r="D29" s="1">
        <v>0</v>
      </c>
      <c r="E29" s="1">
        <v>0</v>
      </c>
      <c r="F29" s="1">
        <f>MIN(Расчет!D29,IF(Расчет!K29="НЕТ",0,Расчет!K29))</f>
        <v>0</v>
      </c>
      <c r="G29" s="1"/>
      <c r="H29" s="1"/>
      <c r="I29" s="49">
        <v>5</v>
      </c>
      <c r="J29" s="1">
        <f>INT(($F$54-K21-K42-SUM(Расчет!D23,Расчет!D24,Расчет!D25*2,Расчет!D26*3,Расчет!D27,Расчет!D28,Расчет!D30))/5)</f>
        <v>31</v>
      </c>
      <c r="K29" s="1" t="s">
        <v>161</v>
      </c>
      <c r="L29" s="55">
        <f>INT((Расчет!$D$54-SUM(M44,M42,M21,M14)-SUM(N23,N24,N25,N26,N27,N28,N30)-Расчет!D81)/(Расчет!F29+Расчет!G29))</f>
        <v>85</v>
      </c>
      <c r="M29" s="7" t="s">
        <v>161</v>
      </c>
      <c r="N29" s="56">
        <f>Расчет!H29+Расчет!J29</f>
        <v>0</v>
      </c>
    </row>
    <row r="30" spans="2:14" x14ac:dyDescent="0.25">
      <c r="B30" s="1" t="s">
        <v>102</v>
      </c>
      <c r="C30" s="1">
        <v>0.65</v>
      </c>
      <c r="D30" s="1">
        <v>0</v>
      </c>
      <c r="E30" s="1">
        <v>0.2</v>
      </c>
      <c r="F30" s="1">
        <f>MIN(Расчет!D30,IF(Расчет!K30="НЕТ",0,Расчет!K30))</f>
        <v>0</v>
      </c>
      <c r="G30" s="1"/>
      <c r="H30" s="1"/>
      <c r="I30" s="49">
        <v>1</v>
      </c>
      <c r="J30" s="1">
        <f>$F$54-K21-K42-SUM(Расчет!D23,Расчет!D24,Расчет!D25*2,Расчет!D26*3,Расчет!D27,Расчет!D28,Расчет!D29*5)</f>
        <v>159</v>
      </c>
      <c r="K30" s="1">
        <f>SUM(Расчет!D23:D24,Расчет!D27:D28,Расчет!D30,Расчет!D25*2,Расчет!D26*3,Расчет!D29*5)</f>
        <v>0</v>
      </c>
      <c r="L30" s="55">
        <f>INT((Расчет!$D$54-SUM(M44,M42,M21,M14)-SUM(N23,N24,N25,N26,N27,N28,N29)-Расчет!D81-IF(SUM(F8:F44)=0,30,IF(SUM(F8:F44)=1,15,0)))/(Расчет!F30+Расчет!G30))</f>
        <v>344</v>
      </c>
      <c r="M30" s="56">
        <f>SUM(Расчет!H23:H30,Расчет!J23:J30)</f>
        <v>0</v>
      </c>
      <c r="N30" s="56">
        <f>Расчет!H30+Расчет!J30</f>
        <v>0</v>
      </c>
    </row>
    <row r="31" spans="2:14" x14ac:dyDescent="0.25">
      <c r="B31" s="52" t="s">
        <v>12</v>
      </c>
      <c r="N31" s="6"/>
    </row>
    <row r="32" spans="2:14" x14ac:dyDescent="0.25">
      <c r="B32" s="1" t="s">
        <v>103</v>
      </c>
      <c r="C32" s="1">
        <v>0.3</v>
      </c>
      <c r="D32" s="1">
        <v>4</v>
      </c>
      <c r="E32" s="1">
        <v>0.1</v>
      </c>
      <c r="F32" s="1">
        <f>MIN(Расчет!D32,IF(Расчет!K32="НЕТ",0,Расчет!K32))</f>
        <v>0</v>
      </c>
      <c r="G32" s="1"/>
      <c r="H32" s="1"/>
      <c r="I32" s="49">
        <v>1</v>
      </c>
      <c r="J32" s="1">
        <f>$F$54-K21-K30-SUM(Расчет!D33,Расчет!D34,Расчет!D35,Расчет!D36,Расчет!D37,Расчет!D38,Расчет!D39,Расчет!D40,Расчет!D41,Расчет!D42)</f>
        <v>159</v>
      </c>
      <c r="K32" s="1"/>
      <c r="L32" s="55">
        <f>INT((Расчет!$D$54-SUM(M44,M30,M21,M14)-SUM(N33,N34,N35,N36,N37,N38,N39,N40,N41,N42)-Расчет!D81-IF(SUM(F8:F44)=0,30,IF(SUM(F8:F44)=1,15,0)))/(Расчет!F32+Расчет!G32))</f>
        <v>52</v>
      </c>
      <c r="M32" s="2"/>
      <c r="N32" s="56">
        <f>Расчет!H32+Расчет!J32</f>
        <v>0</v>
      </c>
    </row>
    <row r="33" spans="2:14" x14ac:dyDescent="0.25">
      <c r="B33" s="1" t="s">
        <v>104</v>
      </c>
      <c r="C33" s="1">
        <v>0.3</v>
      </c>
      <c r="D33" s="1">
        <v>3</v>
      </c>
      <c r="E33" s="1">
        <v>0.1</v>
      </c>
      <c r="F33" s="1">
        <f>MIN(Расчет!D33,IF(Расчет!K33="НЕТ",0,Расчет!K33))</f>
        <v>0</v>
      </c>
      <c r="G33" s="1"/>
      <c r="H33" s="1"/>
      <c r="I33" s="49">
        <v>1</v>
      </c>
      <c r="J33" s="1">
        <f>$F$54-K21-K30-SUM(Расчет!D32,Расчет!D34,Расчет!D35,Расчет!D36,Расчет!D37,Расчет!D38,Расчет!D39,Расчет!D40,Расчет!D41,Расчет!D42)</f>
        <v>159</v>
      </c>
      <c r="K33" s="1"/>
      <c r="L33" s="55">
        <f>INT((Расчет!$D$54-SUM(M44,M30,M21,M14)-SUM(N32,N34,N35,N36,N37,N38,N39,N40,N41,N42)-Расчет!D81-IF(SUM(F8:F44)=0,30,IF(SUM(F8:F44)=1,15,0)))/(Расчет!F33+Расчет!G33))</f>
        <v>67</v>
      </c>
      <c r="M33" s="51"/>
      <c r="N33" s="56">
        <f>Расчет!H33+Расчет!J33</f>
        <v>0</v>
      </c>
    </row>
    <row r="34" spans="2:14" x14ac:dyDescent="0.25">
      <c r="B34" s="1" t="s">
        <v>105</v>
      </c>
      <c r="C34" s="1">
        <v>0.3</v>
      </c>
      <c r="D34" s="1">
        <v>1</v>
      </c>
      <c r="E34" s="1">
        <v>0.1</v>
      </c>
      <c r="F34" s="1">
        <f>MIN(Расчет!D34,IF(Расчет!K34="НЕТ",0,Расчет!K34))</f>
        <v>0</v>
      </c>
      <c r="G34" s="1"/>
      <c r="H34" s="1"/>
      <c r="I34" s="49">
        <v>1</v>
      </c>
      <c r="J34" s="1">
        <f>$F$54-K21-K30-SUM(Расчет!D32,Расчет!D33,Расчет!D35,Расчет!D36,Расчет!D37,Расчет!D38,Расчет!D39,Расчет!D40,Расчет!D41,Расчет!D42)</f>
        <v>159</v>
      </c>
      <c r="K34" s="1"/>
      <c r="L34" s="55">
        <f>INT((Расчет!$D$54-SUM(M44,M30,M21,M14)-SUM(N32,N33,N35,N36,N37,N38,N39,N40,N41,N42)-Расчет!D81-IF(SUM(F8:F44)=0,30,IF(SUM(F8:F44)=1,15,0)))/(Расчет!F34+Расчет!G34))</f>
        <v>172</v>
      </c>
      <c r="M34" s="51"/>
      <c r="N34" s="56">
        <f>Расчет!H34+Расчет!J34</f>
        <v>0</v>
      </c>
    </row>
    <row r="35" spans="2:14" x14ac:dyDescent="0.25">
      <c r="B35" s="1" t="s">
        <v>106</v>
      </c>
      <c r="C35" s="1">
        <v>0.3</v>
      </c>
      <c r="D35" s="1">
        <v>5.7</v>
      </c>
      <c r="E35" s="1">
        <v>0.1</v>
      </c>
      <c r="F35" s="1">
        <f>MIN(Расчет!D35,IF(Расчет!K35="НЕТ",0,Расчет!K35))</f>
        <v>0</v>
      </c>
      <c r="G35" s="1"/>
      <c r="H35" s="1"/>
      <c r="I35" s="49">
        <v>1</v>
      </c>
      <c r="J35" s="1">
        <f>$F$54-K21-K30-SUM(Расчет!D32,Расчет!D33,Расчет!D34,Расчет!D36,Расчет!D37,Расчет!D38,Расчет!D39,Расчет!D40,Расчет!D41,Расчет!D42)</f>
        <v>159</v>
      </c>
      <c r="K35" s="1"/>
      <c r="L35" s="55">
        <f>INT((Расчет!$D$54-SUM(M44,M30,M21,M14)-SUM(N32,N33,N34,N36,N37,N38,N39,N40,N41,N42)-Расчет!D81-IF(SUM(F8:F44)=0,30,IF(SUM(F8:F44)=1,15,0)))/(Расчет!F35+Расчет!G35))</f>
        <v>37</v>
      </c>
      <c r="M35" s="51"/>
      <c r="N35" s="56">
        <f>Расчет!H35+Расчет!J35</f>
        <v>0</v>
      </c>
    </row>
    <row r="36" spans="2:14" x14ac:dyDescent="0.25">
      <c r="B36" s="1" t="s">
        <v>107</v>
      </c>
      <c r="C36" s="1">
        <v>0.3</v>
      </c>
      <c r="D36" s="1">
        <v>4.7</v>
      </c>
      <c r="E36" s="1">
        <v>0.1</v>
      </c>
      <c r="F36" s="1">
        <f>MIN(Расчет!D36,IF(Расчет!K36="НЕТ",0,Расчет!K36))</f>
        <v>0</v>
      </c>
      <c r="G36" s="1"/>
      <c r="H36" s="1"/>
      <c r="I36" s="49">
        <v>1</v>
      </c>
      <c r="J36" s="1">
        <f>$F$54-K21-K30-SUM(Расчет!D32,Расчет!D33,Расчет!D34,Расчет!D35,Расчет!D37,Расчет!D38,Расчет!D39,Расчет!D40,Расчет!D41,Расчет!D42)</f>
        <v>159</v>
      </c>
      <c r="K36" s="1"/>
      <c r="L36" s="55">
        <f>INT((Расчет!$D$54-SUM(M44,M30,M21,M14)-SUM(N32,N33,N34,N35,N37,N38,N39,N40,N41,N42)-Расчет!D81-IF(SUM(F8:F44)=0,30,IF(SUM(F8:F44)=1,15,0)))/(Расчет!F36+Расчет!G36))</f>
        <v>44</v>
      </c>
      <c r="M36" s="51"/>
      <c r="N36" s="56">
        <f>Расчет!H36+Расчет!J36</f>
        <v>0</v>
      </c>
    </row>
    <row r="37" spans="2:14" x14ac:dyDescent="0.25">
      <c r="B37" s="1" t="s">
        <v>108</v>
      </c>
      <c r="C37" s="1">
        <v>0.3</v>
      </c>
      <c r="D37" s="1">
        <v>7.7</v>
      </c>
      <c r="E37" s="1">
        <v>0.1</v>
      </c>
      <c r="F37" s="1">
        <f>MIN(Расчет!D37,IF(Расчет!K37="НЕТ",0,Расчет!K37))</f>
        <v>0</v>
      </c>
      <c r="G37" s="1"/>
      <c r="H37" s="1"/>
      <c r="I37" s="49">
        <v>1</v>
      </c>
      <c r="J37" s="1">
        <f>$F$54-K21-K30-SUM(Расчет!D32,Расчет!D33,Расчет!D34,Расчет!D35,Расчет!D36,Расчет!D38,Расчет!D39,Расчет!D40,Расчет!D41,Расчет!D42)</f>
        <v>159</v>
      </c>
      <c r="K37" s="1"/>
      <c r="L37" s="55">
        <f>INT((Расчет!$D$54-SUM(M44,M30,M21,M14)-SUM(N32,N33,N34,N35,N36,N38,N39,N40,N41,N42)-Расчет!D81-IF(SUM(F8:F44)=0,30,IF(SUM(F8:F44)=1,15,0)))/(Расчет!F37+Расчет!G37))</f>
        <v>28</v>
      </c>
      <c r="M37" s="51"/>
      <c r="N37" s="56">
        <f>Расчет!H37+Расчет!J37</f>
        <v>0</v>
      </c>
    </row>
    <row r="38" spans="2:14" x14ac:dyDescent="0.25">
      <c r="B38" s="1" t="s">
        <v>109</v>
      </c>
      <c r="C38" s="1">
        <v>0.3</v>
      </c>
      <c r="D38" s="1">
        <v>6.7</v>
      </c>
      <c r="E38" s="1">
        <v>0.1</v>
      </c>
      <c r="F38" s="1">
        <f>MIN(Расчет!D38,IF(Расчет!K38="НЕТ",0,Расчет!K38))</f>
        <v>0</v>
      </c>
      <c r="G38" s="1"/>
      <c r="H38" s="1"/>
      <c r="I38" s="49">
        <v>1</v>
      </c>
      <c r="J38" s="1">
        <f>$F$54-K21-K30-SUM(Расчет!D32,Расчет!D33,Расчет!D34,Расчет!D35,Расчет!D36,Расчет!D37,Расчет!D39,Расчет!D40,Расчет!D41,Расчет!D42)</f>
        <v>159</v>
      </c>
      <c r="K38" s="1"/>
      <c r="L38" s="55">
        <f>INT((Расчет!$D$54-SUM(M44,M30,M21,M14)-SUM(N32,N33,N34,N35,N36,N37,N39,N40,N41,N42)-Расчет!D81-IF(SUM(F8:F44)=0,30,IF(SUM(F8:F44)=1,15,0)))/(Расчет!F38+Расчет!G38))</f>
        <v>32</v>
      </c>
      <c r="M38" s="51"/>
      <c r="N38" s="56">
        <f>Расчет!H38+Расчет!J38</f>
        <v>0</v>
      </c>
    </row>
    <row r="39" spans="2:14" x14ac:dyDescent="0.25">
      <c r="B39" s="1" t="s">
        <v>110</v>
      </c>
      <c r="C39" s="1">
        <v>0.3</v>
      </c>
      <c r="D39" s="1">
        <v>0.7</v>
      </c>
      <c r="E39" s="1">
        <v>0.1</v>
      </c>
      <c r="F39" s="1">
        <f>MIN(Расчет!D39,IF(Расчет!K39="НЕТ",0,Расчет!K39))</f>
        <v>0</v>
      </c>
      <c r="G39" s="1"/>
      <c r="H39" s="1"/>
      <c r="I39" s="49">
        <v>1</v>
      </c>
      <c r="J39" s="1">
        <f>$F$54-K21-K30-SUM(Расчет!D32,Расчет!D33,Расчет!D34,Расчет!D35,Расчет!D36,Расчет!D37,Расчет!D38,Расчет!D40,Расчет!D41,Расчет!D42)</f>
        <v>159</v>
      </c>
      <c r="K39" s="1"/>
      <c r="L39" s="55">
        <f>INT((Расчет!$D$54-SUM(M44,M30,M21,M14)-SUM(N32,N33,N34,N35,N36,N37,N38,N40,N41,N42)-Расчет!D81-IF(SUM(F8:F44)=0,30,IF(SUM(F8:F44)=1,15,0)))/(Расчет!F39+Расчет!G39))</f>
        <v>224</v>
      </c>
      <c r="M39" s="51"/>
      <c r="N39" s="56">
        <f>Расчет!H39+Расчет!J39</f>
        <v>0</v>
      </c>
    </row>
    <row r="40" spans="2:14" x14ac:dyDescent="0.25">
      <c r="B40" s="1" t="s">
        <v>111</v>
      </c>
      <c r="C40" s="1">
        <v>0.3</v>
      </c>
      <c r="D40" s="1">
        <v>4.7</v>
      </c>
      <c r="E40" s="1">
        <v>0.1</v>
      </c>
      <c r="F40" s="1">
        <f>MIN(Расчет!D40,IF(Расчет!K40="НЕТ",0,Расчет!K40))</f>
        <v>0</v>
      </c>
      <c r="G40" s="1"/>
      <c r="H40" s="1"/>
      <c r="I40" s="49">
        <v>1</v>
      </c>
      <c r="J40" s="1">
        <f>$F$54-K21-K30-SUM(Расчет!D32,Расчет!D33,Расчет!D34,Расчет!D35,Расчет!D36,Расчет!D37,Расчет!D38,Расчет!D39,Расчет!D41,Расчет!D42)</f>
        <v>159</v>
      </c>
      <c r="K40" s="1"/>
      <c r="L40" s="55">
        <f>INT((Расчет!$D$54-SUM(M44,M30,M21,M14)-SUM(N32,N33,N34,N35,N36,N37,N38,N39,N41,N42)-Расчет!D81-IF(SUM(F8:F44)=0,30,IF(SUM(F8:F44)=1,15,0)))/(Расчет!F40+Расчет!G40))</f>
        <v>44</v>
      </c>
      <c r="M40" s="51"/>
      <c r="N40" s="56">
        <f>Расчет!H40+Расчет!J40</f>
        <v>0</v>
      </c>
    </row>
    <row r="41" spans="2:14" x14ac:dyDescent="0.25">
      <c r="B41" s="1" t="s">
        <v>112</v>
      </c>
      <c r="C41" s="1">
        <v>0.3</v>
      </c>
      <c r="D41" s="1">
        <v>2.7</v>
      </c>
      <c r="E41" s="1">
        <v>0.1</v>
      </c>
      <c r="F41" s="1">
        <f>MIN(Расчет!D41,IF(Расчет!K41="НЕТ",0,Расчет!K41))</f>
        <v>0</v>
      </c>
      <c r="G41" s="1"/>
      <c r="H41" s="1"/>
      <c r="I41" s="49">
        <v>1</v>
      </c>
      <c r="J41" s="1">
        <f>$F$54-K21-K30-SUM(Расчет!D32,Расчет!D33,Расчет!D34,Расчет!D35,Расчет!D36,Расчет!D37,Расчет!D38,Расчет!D39,Расчет!D40,Расчет!D42)</f>
        <v>159</v>
      </c>
      <c r="K41" s="1" t="s">
        <v>162</v>
      </c>
      <c r="L41" s="55">
        <f>INT((Расчет!$D$54-SUM(M44,M30,M21,M14)-SUM(N32,N33,N34,N35,N36,N37,N38,N39,N40,N42)-Расчет!D81-IF(SUM(F8:F44)=0,30,IF(SUM(F8:F44)=1,15,0)))/(Расчет!F41+Расчет!G41))</f>
        <v>74</v>
      </c>
      <c r="M41" s="7" t="s">
        <v>166</v>
      </c>
      <c r="N41" s="56">
        <f>Расчет!H41+Расчет!J41</f>
        <v>0</v>
      </c>
    </row>
    <row r="42" spans="2:14" x14ac:dyDescent="0.25">
      <c r="B42" s="1" t="s">
        <v>113</v>
      </c>
      <c r="C42" s="1">
        <v>5</v>
      </c>
      <c r="D42" s="1">
        <v>0</v>
      </c>
      <c r="E42" s="1">
        <v>0.1</v>
      </c>
      <c r="F42" s="1">
        <f>MIN(Расчет!D42,IF(Расчет!K42="НЕТ",0,Расчет!K42))</f>
        <v>0</v>
      </c>
      <c r="G42" s="1"/>
      <c r="H42" s="1"/>
      <c r="I42" s="49">
        <v>1</v>
      </c>
      <c r="J42" s="1">
        <f>$F$54-K21-K30-SUM(Расчет!D32,Расчет!D33,Расчет!D34,Расчет!D35,Расчет!D36,Расчет!D37,Расчет!D38,Расчет!D39,Расчет!D40,Расчет!D41)</f>
        <v>159</v>
      </c>
      <c r="K42" s="1">
        <f>SUM(Расчет!D32:D42)</f>
        <v>0</v>
      </c>
      <c r="L42" s="55">
        <f>INT((Расчет!$D$54-SUM(M44,M30,M21,M14)-SUM(N32,N33,N34,N35,N36,N37,N38,N39,N40,N41)-Расчет!D81-IF(SUM(F8:F44)=0,30,IF(SUM(F8:F44)=1,15,0)))/(Расчет!F42+Расчет!G42))</f>
        <v>44</v>
      </c>
      <c r="M42" s="56">
        <f>SUM(Расчет!H32:H42,Расчет!J32:J42)</f>
        <v>0</v>
      </c>
      <c r="N42" s="56">
        <f>Расчет!H42+Расчет!J42</f>
        <v>0</v>
      </c>
    </row>
    <row r="43" spans="2:14" x14ac:dyDescent="0.25">
      <c r="B43" s="52" t="s">
        <v>78</v>
      </c>
      <c r="N43" s="6"/>
    </row>
    <row r="44" spans="2:14" x14ac:dyDescent="0.25">
      <c r="B44" s="1" t="s">
        <v>79</v>
      </c>
      <c r="C44" s="1">
        <v>0.1</v>
      </c>
      <c r="D44" s="1">
        <v>2</v>
      </c>
      <c r="E44" s="1">
        <v>0</v>
      </c>
      <c r="F44" s="1">
        <f>MIN(Расчет!D44,IF(Расчет!K44="НЕТ",0,Расчет!K44))</f>
        <v>0</v>
      </c>
      <c r="G44" s="1"/>
      <c r="H44" s="1"/>
      <c r="I44" s="49">
        <v>0</v>
      </c>
      <c r="J44" s="1">
        <f>SUM(Расчет!D8:D14)</f>
        <v>0</v>
      </c>
      <c r="K44" s="1"/>
      <c r="L44" s="55">
        <f>INT((Расчет!$D$54-SUM(M14,M42,M30,M21)-Расчет!D81-G28*Расчет!G44)/Расчет!F44)</f>
        <v>2557</v>
      </c>
      <c r="M44" s="56">
        <f>SUM(Расчет!H44,Расчет!J44)</f>
        <v>0</v>
      </c>
      <c r="N44" s="56">
        <f>Расчет!H44+Расчет!J44</f>
        <v>0</v>
      </c>
    </row>
    <row r="46" spans="2:14" x14ac:dyDescent="0.25">
      <c r="B46" t="s">
        <v>147</v>
      </c>
    </row>
    <row r="47" spans="2:14" x14ac:dyDescent="0.25">
      <c r="B47" s="49" t="s">
        <v>122</v>
      </c>
      <c r="C47" s="50"/>
      <c r="D47" s="50"/>
      <c r="E47" s="50"/>
      <c r="F47" s="1">
        <v>0.95</v>
      </c>
    </row>
    <row r="48" spans="2:14" x14ac:dyDescent="0.25">
      <c r="B48" s="48" t="s">
        <v>123</v>
      </c>
      <c r="C48" s="8"/>
      <c r="D48" s="8"/>
      <c r="E48" s="8"/>
      <c r="F48" s="7">
        <v>2.7650000000000001</v>
      </c>
    </row>
    <row r="50" spans="2:7" x14ac:dyDescent="0.25">
      <c r="B50" t="s">
        <v>144</v>
      </c>
    </row>
    <row r="51" spans="2:7" x14ac:dyDescent="0.25">
      <c r="B51" s="45" t="s">
        <v>145</v>
      </c>
      <c r="C51" s="46"/>
      <c r="D51" s="46"/>
      <c r="E51" s="46"/>
      <c r="F51" s="2">
        <v>5</v>
      </c>
    </row>
    <row r="52" spans="2:7" x14ac:dyDescent="0.25">
      <c r="B52" s="49" t="s">
        <v>124</v>
      </c>
      <c r="C52" s="50"/>
      <c r="D52" s="50"/>
      <c r="E52" s="50"/>
      <c r="F52" s="1">
        <f>G28</f>
        <v>0</v>
      </c>
    </row>
    <row r="53" spans="2:7" x14ac:dyDescent="0.25">
      <c r="B53" s="49" t="s">
        <v>137</v>
      </c>
      <c r="C53" s="50"/>
      <c r="D53" s="50"/>
      <c r="E53" s="50"/>
      <c r="F53" s="1">
        <v>15</v>
      </c>
    </row>
    <row r="54" spans="2:7" x14ac:dyDescent="0.25">
      <c r="B54" s="48" t="s">
        <v>138</v>
      </c>
      <c r="C54" s="8"/>
      <c r="D54" s="8"/>
      <c r="E54" s="8"/>
      <c r="F54" s="7">
        <v>159</v>
      </c>
    </row>
    <row r="56" spans="2:7" x14ac:dyDescent="0.25">
      <c r="B56" t="s">
        <v>149</v>
      </c>
    </row>
    <row r="57" spans="2:7" x14ac:dyDescent="0.25">
      <c r="B57" s="49" t="s">
        <v>15</v>
      </c>
      <c r="C57" s="50"/>
      <c r="D57" s="50"/>
      <c r="E57" s="50"/>
      <c r="F57" s="1">
        <v>0.75</v>
      </c>
      <c r="G57" t="s">
        <v>125</v>
      </c>
    </row>
    <row r="58" spans="2:7" x14ac:dyDescent="0.25">
      <c r="F58" s="7">
        <v>0.87</v>
      </c>
      <c r="G58" t="s">
        <v>126</v>
      </c>
    </row>
    <row r="59" spans="2:7" x14ac:dyDescent="0.25">
      <c r="F59" s="2">
        <v>1</v>
      </c>
      <c r="G59" t="s">
        <v>127</v>
      </c>
    </row>
    <row r="60" spans="2:7" x14ac:dyDescent="0.25">
      <c r="B60" s="49" t="s">
        <v>128</v>
      </c>
      <c r="C60" s="50"/>
      <c r="D60" s="50"/>
      <c r="E60" s="50"/>
      <c r="F60" s="1">
        <v>40</v>
      </c>
      <c r="G60" t="s">
        <v>129</v>
      </c>
    </row>
    <row r="61" spans="2:7" x14ac:dyDescent="0.25">
      <c r="F61" s="7">
        <v>50</v>
      </c>
      <c r="G61" t="s">
        <v>130</v>
      </c>
    </row>
    <row r="63" spans="2:7" x14ac:dyDescent="0.25">
      <c r="B63" t="s">
        <v>150</v>
      </c>
    </row>
    <row r="64" spans="2:7" x14ac:dyDescent="0.25">
      <c r="B64" s="45" t="s">
        <v>131</v>
      </c>
      <c r="C64" s="46"/>
      <c r="D64" s="46"/>
      <c r="E64" s="46"/>
      <c r="F64" s="2">
        <v>1.25</v>
      </c>
    </row>
    <row r="65" spans="2:6" x14ac:dyDescent="0.25">
      <c r="B65" s="49" t="s">
        <v>132</v>
      </c>
      <c r="C65" s="50"/>
      <c r="D65" s="50"/>
      <c r="E65" s="50"/>
      <c r="F65" s="1">
        <v>24</v>
      </c>
    </row>
    <row r="66" spans="2:6" x14ac:dyDescent="0.25">
      <c r="B66" s="48" t="s">
        <v>133</v>
      </c>
      <c r="C66" s="8"/>
      <c r="D66" s="8"/>
      <c r="E66" s="8"/>
      <c r="F66" s="7">
        <v>1</v>
      </c>
    </row>
    <row r="68" spans="2:6" x14ac:dyDescent="0.25">
      <c r="B68" t="s">
        <v>151</v>
      </c>
    </row>
    <row r="69" spans="2:6" x14ac:dyDescent="0.25">
      <c r="B69" s="45" t="s">
        <v>143</v>
      </c>
      <c r="C69" s="46"/>
      <c r="D69" s="46"/>
      <c r="E69" s="46"/>
      <c r="F69" s="2">
        <v>6000</v>
      </c>
    </row>
    <row r="70" spans="2:6" x14ac:dyDescent="0.25">
      <c r="B70" s="49" t="s">
        <v>134</v>
      </c>
      <c r="C70" s="50"/>
      <c r="D70" s="50"/>
      <c r="E70" s="50"/>
      <c r="F70" s="1">
        <v>1.7999999999999999E-2</v>
      </c>
    </row>
    <row r="71" spans="2:6" x14ac:dyDescent="0.25">
      <c r="B71" s="47" t="s">
        <v>135</v>
      </c>
      <c r="F71" s="51">
        <v>2000</v>
      </c>
    </row>
    <row r="72" spans="2:6" x14ac:dyDescent="0.25">
      <c r="B72" s="49" t="s">
        <v>146</v>
      </c>
      <c r="C72" s="50"/>
      <c r="D72" s="50"/>
      <c r="E72" s="50"/>
      <c r="F72" s="1">
        <v>14000</v>
      </c>
    </row>
    <row r="73" spans="2:6" x14ac:dyDescent="0.25">
      <c r="B73" s="48" t="s">
        <v>136</v>
      </c>
      <c r="C73" s="8"/>
      <c r="D73" s="8"/>
      <c r="E73" s="8"/>
      <c r="F73" s="7">
        <f>F72*Расчет!D48/MAX(Расчет!D53,1)-Расчет!D82</f>
        <v>12180</v>
      </c>
    </row>
    <row r="74" spans="2:6" x14ac:dyDescent="0.25">
      <c r="B74" s="49" t="s">
        <v>148</v>
      </c>
      <c r="C74" s="50"/>
      <c r="D74" s="50"/>
      <c r="E74" s="50"/>
      <c r="F74" s="1">
        <v>1.2</v>
      </c>
    </row>
    <row r="76" spans="2:6" x14ac:dyDescent="0.25">
      <c r="B76" t="s">
        <v>182</v>
      </c>
    </row>
    <row r="77" spans="2:6" x14ac:dyDescent="0.25">
      <c r="B77" t="s">
        <v>183</v>
      </c>
      <c r="C77" t="s">
        <v>185</v>
      </c>
      <c r="D77" t="s">
        <v>184</v>
      </c>
    </row>
    <row r="78" spans="2:6" x14ac:dyDescent="0.25">
      <c r="B78">
        <v>0.5</v>
      </c>
      <c r="C78">
        <f t="shared" ref="C78:C83" si="0">F$70*F$71/B78</f>
        <v>72</v>
      </c>
      <c r="D78" s="68">
        <f>MIN(6000,F$73/(C78*F$74)*1000)</f>
        <v>6000</v>
      </c>
    </row>
    <row r="79" spans="2:6" x14ac:dyDescent="0.25">
      <c r="B79">
        <v>0.75</v>
      </c>
      <c r="C79">
        <f t="shared" si="0"/>
        <v>48</v>
      </c>
      <c r="D79" s="68">
        <f t="shared" ref="D79:D83" si="1">MIN(6000,F$73/(C79*F$74)*1000)</f>
        <v>6000</v>
      </c>
    </row>
    <row r="80" spans="2:6" x14ac:dyDescent="0.25">
      <c r="B80">
        <v>1</v>
      </c>
      <c r="C80">
        <f t="shared" si="0"/>
        <v>36</v>
      </c>
      <c r="D80" s="68">
        <f t="shared" si="1"/>
        <v>6000</v>
      </c>
    </row>
    <row r="81" spans="2:7" x14ac:dyDescent="0.25">
      <c r="B81">
        <v>1.5</v>
      </c>
      <c r="C81">
        <f t="shared" si="0"/>
        <v>24</v>
      </c>
      <c r="D81" s="68">
        <f t="shared" si="1"/>
        <v>6000</v>
      </c>
    </row>
    <row r="82" spans="2:7" x14ac:dyDescent="0.25">
      <c r="B82">
        <v>2</v>
      </c>
      <c r="C82">
        <f t="shared" si="0"/>
        <v>18</v>
      </c>
      <c r="D82" s="68">
        <f t="shared" si="1"/>
        <v>6000</v>
      </c>
    </row>
    <row r="83" spans="2:7" x14ac:dyDescent="0.25">
      <c r="B83">
        <v>2.5</v>
      </c>
      <c r="C83">
        <f t="shared" si="0"/>
        <v>14.4</v>
      </c>
      <c r="D83" s="68">
        <f t="shared" si="1"/>
        <v>6000</v>
      </c>
    </row>
    <row r="85" spans="2:7" x14ac:dyDescent="0.25">
      <c r="B85" t="s">
        <v>153</v>
      </c>
    </row>
    <row r="86" spans="2:7" x14ac:dyDescent="0.25">
      <c r="B86" s="49" t="s">
        <v>38</v>
      </c>
      <c r="C86" s="50"/>
      <c r="D86" s="50"/>
      <c r="E86" s="50"/>
      <c r="F86" s="1" t="b">
        <f>AND(NOT(OR(F87:F89)),Расчет!D73&gt;0)</f>
        <v>0</v>
      </c>
    </row>
    <row r="87" spans="2:7" x14ac:dyDescent="0.25">
      <c r="B87" s="49" t="s">
        <v>39</v>
      </c>
      <c r="C87" s="50"/>
      <c r="D87" s="50"/>
      <c r="E87" s="50"/>
      <c r="F87" s="1" t="b">
        <f>Расчет!D53&gt;Расчет!D54</f>
        <v>0</v>
      </c>
    </row>
    <row r="88" spans="2:7" x14ac:dyDescent="0.25">
      <c r="B88" s="49" t="s">
        <v>139</v>
      </c>
      <c r="C88" s="50"/>
      <c r="D88" s="50"/>
      <c r="E88" s="50"/>
      <c r="F88" s="1" t="b">
        <f>Расчет!D61&gt;17</f>
        <v>0</v>
      </c>
    </row>
    <row r="89" spans="2:7" x14ac:dyDescent="0.25">
      <c r="B89" s="48" t="s">
        <v>140</v>
      </c>
      <c r="C89" s="8"/>
      <c r="D89" s="8"/>
      <c r="E89" s="8"/>
      <c r="F89" s="7" t="b">
        <f>Расчет!D44&gt;Расчет!E44</f>
        <v>0</v>
      </c>
    </row>
    <row r="93" spans="2:7" x14ac:dyDescent="0.25">
      <c r="G93" t="s">
        <v>43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3"/>
  <sheetViews>
    <sheetView workbookViewId="0">
      <selection activeCell="A24" sqref="A24"/>
    </sheetView>
  </sheetViews>
  <sheetFormatPr defaultRowHeight="15" x14ac:dyDescent="0.25"/>
  <sheetData>
    <row r="1" spans="1:5" x14ac:dyDescent="0.25">
      <c r="A1" t="s">
        <v>154</v>
      </c>
      <c r="B1" t="s">
        <v>155</v>
      </c>
    </row>
    <row r="2" spans="1:5" x14ac:dyDescent="0.25">
      <c r="A2" t="s">
        <v>156</v>
      </c>
      <c r="B2" t="s">
        <v>164</v>
      </c>
    </row>
    <row r="3" spans="1:5" x14ac:dyDescent="0.25">
      <c r="B3" t="s">
        <v>168</v>
      </c>
    </row>
    <row r="4" spans="1:5" x14ac:dyDescent="0.25">
      <c r="B4" t="s">
        <v>170</v>
      </c>
    </row>
    <row r="5" spans="1:5" x14ac:dyDescent="0.25">
      <c r="B5" t="s">
        <v>169</v>
      </c>
    </row>
    <row r="6" spans="1:5" x14ac:dyDescent="0.25">
      <c r="A6" t="s">
        <v>171</v>
      </c>
      <c r="B6" t="s">
        <v>172</v>
      </c>
    </row>
    <row r="7" spans="1:5" x14ac:dyDescent="0.25">
      <c r="A7" t="s">
        <v>173</v>
      </c>
      <c r="B7" t="s">
        <v>174</v>
      </c>
    </row>
    <row r="8" spans="1:5" x14ac:dyDescent="0.25">
      <c r="A8" s="60" t="s">
        <v>175</v>
      </c>
      <c r="B8" t="s">
        <v>176</v>
      </c>
    </row>
    <row r="9" spans="1:5" x14ac:dyDescent="0.25">
      <c r="A9" s="61" t="s">
        <v>177</v>
      </c>
      <c r="B9" t="s">
        <v>178</v>
      </c>
    </row>
    <row r="10" spans="1:5" x14ac:dyDescent="0.25">
      <c r="B10" t="s">
        <v>179</v>
      </c>
    </row>
    <row r="11" spans="1:5" x14ac:dyDescent="0.25">
      <c r="A11" t="s">
        <v>180</v>
      </c>
      <c r="B11" t="s">
        <v>181</v>
      </c>
    </row>
    <row r="12" spans="1:5" x14ac:dyDescent="0.25">
      <c r="B12" t="s">
        <v>186</v>
      </c>
    </row>
    <row r="13" spans="1:5" x14ac:dyDescent="0.25">
      <c r="B13" t="s">
        <v>187</v>
      </c>
    </row>
    <row r="14" spans="1:5" x14ac:dyDescent="0.25">
      <c r="A14" s="60" t="s">
        <v>188</v>
      </c>
      <c r="B14" t="s">
        <v>189</v>
      </c>
    </row>
    <row r="15" spans="1:5" x14ac:dyDescent="0.25">
      <c r="A15" s="71" t="s">
        <v>190</v>
      </c>
      <c r="B15" s="71" t="s">
        <v>191</v>
      </c>
      <c r="C15" s="71"/>
      <c r="D15" s="71"/>
      <c r="E15" s="71"/>
    </row>
    <row r="16" spans="1:5" x14ac:dyDescent="0.25">
      <c r="A16" s="71"/>
      <c r="B16" s="71" t="s">
        <v>192</v>
      </c>
      <c r="C16" s="71"/>
      <c r="D16" s="71" t="s">
        <v>193</v>
      </c>
      <c r="E16" s="71"/>
    </row>
    <row r="17" spans="1:5" x14ac:dyDescent="0.25">
      <c r="A17" s="71"/>
      <c r="B17" s="71"/>
      <c r="C17" s="71"/>
      <c r="D17" s="71" t="s">
        <v>194</v>
      </c>
      <c r="E17" s="71"/>
    </row>
    <row r="18" spans="1:5" x14ac:dyDescent="0.25">
      <c r="A18" s="71"/>
      <c r="B18" s="71"/>
      <c r="C18" s="71"/>
      <c r="D18" s="71" t="s">
        <v>195</v>
      </c>
      <c r="E18" s="71"/>
    </row>
    <row r="19" spans="1:5" x14ac:dyDescent="0.25">
      <c r="A19" s="71"/>
      <c r="B19" s="71"/>
      <c r="C19" s="71"/>
      <c r="D19" s="71" t="s">
        <v>196</v>
      </c>
      <c r="E19" s="71"/>
    </row>
    <row r="20" spans="1:5" x14ac:dyDescent="0.25">
      <c r="A20" s="71"/>
      <c r="B20" s="71"/>
      <c r="C20" s="71"/>
      <c r="D20" s="71" t="s">
        <v>197</v>
      </c>
      <c r="E20" s="71"/>
    </row>
    <row r="21" spans="1:5" x14ac:dyDescent="0.25">
      <c r="A21" s="71"/>
      <c r="B21" s="71" t="s">
        <v>198</v>
      </c>
      <c r="C21" s="71"/>
      <c r="D21" s="71"/>
      <c r="E21" s="71"/>
    </row>
    <row r="22" spans="1:5" x14ac:dyDescent="0.25">
      <c r="A22" s="71"/>
      <c r="B22" s="71" t="s">
        <v>199</v>
      </c>
      <c r="C22" s="71"/>
      <c r="D22" s="71"/>
      <c r="E22" s="71"/>
    </row>
    <row r="23" spans="1:5" x14ac:dyDescent="0.25">
      <c r="A23" s="60" t="s">
        <v>200</v>
      </c>
      <c r="B23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Расчет</vt:lpstr>
      <vt:lpstr>Данные</vt:lpstr>
      <vt:lpstr>Справка</vt:lpstr>
      <vt:lpstr>kpt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Гуськов Павел</dc:creator>
  <cp:lastModifiedBy>Гуськов Павел</cp:lastModifiedBy>
  <dcterms:created xsi:type="dcterms:W3CDTF">2025-01-16T12:58:02Z</dcterms:created>
  <dcterms:modified xsi:type="dcterms:W3CDTF">2025-03-10T11:11:21Z</dcterms:modified>
</cp:coreProperties>
</file>